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a\Documents\ERS Cymru\Senedd2021results\STV modelling\"/>
    </mc:Choice>
  </mc:AlternateContent>
  <xr:revisionPtr revIDLastSave="0" documentId="8_{9675C3FE-BCFD-4B65-9825-D40D83A3E1B5}" xr6:coauthVersionLast="47" xr6:coauthVersionMax="47" xr10:uidLastSave="{00000000-0000-0000-0000-000000000000}"/>
  <bookViews>
    <workbookView xWindow="-110" yWindow="-110" windowWidth="19420" windowHeight="10420" firstSheet="2" activeTab="5" xr2:uid="{D54D9202-A7D6-43FB-89AD-C59B2CDB34D1}"/>
  </bookViews>
  <sheets>
    <sheet name="Seats for diff Senedd sizes" sheetId="1" r:id="rId1"/>
    <sheet name="Results for diff Senedd sizes" sheetId="7" r:id="rId2"/>
    <sheet name="STV 90 seats results" sheetId="6" r:id="rId3"/>
    <sheet name="90 seat vote calcs" sheetId="8" r:id="rId4"/>
    <sheet name="STV 80 seats results" sheetId="2" r:id="rId5"/>
    <sheet name="80 seat vote calcs" sheetId="3" r:id="rId6"/>
    <sheet name="STV 100 seats results" sheetId="4" r:id="rId7"/>
    <sheet name="100 seat vote calcs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8" l="1"/>
  <c r="K36" i="8" s="1"/>
  <c r="J35" i="8"/>
  <c r="J36" i="8" s="1"/>
  <c r="I35" i="8"/>
  <c r="I36" i="8" s="1"/>
  <c r="I37" i="8" s="1"/>
  <c r="H35" i="8"/>
  <c r="H36" i="8" s="1"/>
  <c r="H37" i="8" s="1"/>
  <c r="H38" i="8" s="1"/>
  <c r="G35" i="8"/>
  <c r="G36" i="8" s="1"/>
  <c r="F35" i="8"/>
  <c r="F36" i="8" s="1"/>
  <c r="F37" i="8" s="1"/>
  <c r="E35" i="8"/>
  <c r="E36" i="8" s="1"/>
  <c r="E37" i="8" s="1"/>
  <c r="C34" i="8"/>
  <c r="D35" i="8" s="1"/>
  <c r="D36" i="8" s="1"/>
  <c r="D37" i="8" s="1"/>
  <c r="D38" i="8" s="1"/>
  <c r="K16" i="8"/>
  <c r="K17" i="8" s="1"/>
  <c r="K18" i="8" s="1"/>
  <c r="K19" i="8" s="1"/>
  <c r="J16" i="8"/>
  <c r="J17" i="8" s="1"/>
  <c r="J18" i="8" s="1"/>
  <c r="J19" i="8" s="1"/>
  <c r="I16" i="8"/>
  <c r="I17" i="8" s="1"/>
  <c r="I18" i="8" s="1"/>
  <c r="I19" i="8" s="1"/>
  <c r="H16" i="8"/>
  <c r="H17" i="8" s="1"/>
  <c r="H18" i="8" s="1"/>
  <c r="H19" i="8" s="1"/>
  <c r="F16" i="8"/>
  <c r="F17" i="8" s="1"/>
  <c r="F18" i="8" s="1"/>
  <c r="F19" i="8" s="1"/>
  <c r="E16" i="8"/>
  <c r="E17" i="8" s="1"/>
  <c r="E18" i="8" s="1"/>
  <c r="D16" i="8"/>
  <c r="D17" i="8" s="1"/>
  <c r="C15" i="8"/>
  <c r="G16" i="8" s="1"/>
  <c r="G17" i="8" s="1"/>
  <c r="G18" i="8" s="1"/>
  <c r="G19" i="8" s="1"/>
  <c r="E25" i="3"/>
  <c r="K238" i="8"/>
  <c r="K239" i="8" s="1"/>
  <c r="K240" i="8" s="1"/>
  <c r="J238" i="8"/>
  <c r="J239" i="8" s="1"/>
  <c r="J240" i="8" s="1"/>
  <c r="I238" i="8"/>
  <c r="I239" i="8" s="1"/>
  <c r="I240" i="8" s="1"/>
  <c r="H238" i="8"/>
  <c r="H239" i="8" s="1"/>
  <c r="H240" i="8" s="1"/>
  <c r="G238" i="8"/>
  <c r="G239" i="8" s="1"/>
  <c r="G240" i="8" s="1"/>
  <c r="F238" i="8"/>
  <c r="F239" i="8" s="1"/>
  <c r="F240" i="8" s="1"/>
  <c r="F241" i="8" s="1"/>
  <c r="E238" i="8"/>
  <c r="E239" i="8" s="1"/>
  <c r="E240" i="8" s="1"/>
  <c r="D238" i="8"/>
  <c r="D239" i="8" s="1"/>
  <c r="D240" i="8" s="1"/>
  <c r="K226" i="8"/>
  <c r="K227" i="8" s="1"/>
  <c r="K228" i="8" s="1"/>
  <c r="J226" i="8"/>
  <c r="J227" i="8" s="1"/>
  <c r="J228" i="8" s="1"/>
  <c r="I226" i="8"/>
  <c r="I227" i="8" s="1"/>
  <c r="I228" i="8" s="1"/>
  <c r="I229" i="8" s="1"/>
  <c r="H226" i="8"/>
  <c r="H227" i="8" s="1"/>
  <c r="H228" i="8" s="1"/>
  <c r="G226" i="8"/>
  <c r="G227" i="8" s="1"/>
  <c r="G228" i="8" s="1"/>
  <c r="F226" i="8"/>
  <c r="F227" i="8" s="1"/>
  <c r="F228" i="8" s="1"/>
  <c r="E226" i="8"/>
  <c r="E227" i="8" s="1"/>
  <c r="E228" i="8" s="1"/>
  <c r="D226" i="8"/>
  <c r="D227" i="8" s="1"/>
  <c r="D228" i="8" s="1"/>
  <c r="K213" i="8"/>
  <c r="K214" i="8" s="1"/>
  <c r="K215" i="8" s="1"/>
  <c r="J213" i="8"/>
  <c r="J214" i="8" s="1"/>
  <c r="J215" i="8" s="1"/>
  <c r="I213" i="8"/>
  <c r="I214" i="8" s="1"/>
  <c r="I215" i="8" s="1"/>
  <c r="H213" i="8"/>
  <c r="H214" i="8" s="1"/>
  <c r="H215" i="8" s="1"/>
  <c r="G213" i="8"/>
  <c r="G214" i="8" s="1"/>
  <c r="G215" i="8" s="1"/>
  <c r="F213" i="8"/>
  <c r="F214" i="8" s="1"/>
  <c r="F215" i="8" s="1"/>
  <c r="F216" i="8" s="1"/>
  <c r="E213" i="8"/>
  <c r="E214" i="8" s="1"/>
  <c r="E215" i="8" s="1"/>
  <c r="E216" i="8" s="1"/>
  <c r="D213" i="8"/>
  <c r="D214" i="8" s="1"/>
  <c r="D215" i="8" s="1"/>
  <c r="K200" i="8"/>
  <c r="K201" i="8" s="1"/>
  <c r="K202" i="8" s="1"/>
  <c r="J200" i="8"/>
  <c r="J201" i="8" s="1"/>
  <c r="J202" i="8" s="1"/>
  <c r="I200" i="8"/>
  <c r="I201" i="8" s="1"/>
  <c r="I202" i="8" s="1"/>
  <c r="H200" i="8"/>
  <c r="H201" i="8" s="1"/>
  <c r="H202" i="8" s="1"/>
  <c r="G200" i="8"/>
  <c r="G201" i="8" s="1"/>
  <c r="G202" i="8" s="1"/>
  <c r="F200" i="8"/>
  <c r="F201" i="8" s="1"/>
  <c r="F202" i="8" s="1"/>
  <c r="F203" i="8" s="1"/>
  <c r="E200" i="8"/>
  <c r="E201" i="8" s="1"/>
  <c r="E202" i="8" s="1"/>
  <c r="D200" i="8"/>
  <c r="D201" i="8" s="1"/>
  <c r="D202" i="8" s="1"/>
  <c r="K187" i="8"/>
  <c r="K188" i="8" s="1"/>
  <c r="K189" i="8" s="1"/>
  <c r="K190" i="8" s="1"/>
  <c r="J187" i="8"/>
  <c r="J188" i="8" s="1"/>
  <c r="J189" i="8" s="1"/>
  <c r="J190" i="8" s="1"/>
  <c r="I187" i="8"/>
  <c r="I188" i="8" s="1"/>
  <c r="I189" i="8" s="1"/>
  <c r="I190" i="8" s="1"/>
  <c r="H187" i="8"/>
  <c r="H188" i="8" s="1"/>
  <c r="H189" i="8" s="1"/>
  <c r="H190" i="8" s="1"/>
  <c r="G187" i="8"/>
  <c r="G188" i="8" s="1"/>
  <c r="G189" i="8" s="1"/>
  <c r="G190" i="8" s="1"/>
  <c r="F187" i="8"/>
  <c r="F188" i="8" s="1"/>
  <c r="F189" i="8" s="1"/>
  <c r="F190" i="8" s="1"/>
  <c r="F191" i="8" s="1"/>
  <c r="E187" i="8"/>
  <c r="E188" i="8" s="1"/>
  <c r="E189" i="8" s="1"/>
  <c r="E190" i="8" s="1"/>
  <c r="E191" i="8" s="1"/>
  <c r="D187" i="8"/>
  <c r="D188" i="8" s="1"/>
  <c r="D189" i="8" s="1"/>
  <c r="D190" i="8" s="1"/>
  <c r="K175" i="8"/>
  <c r="K176" i="8" s="1"/>
  <c r="K177" i="8" s="1"/>
  <c r="J175" i="8"/>
  <c r="J176" i="8" s="1"/>
  <c r="J177" i="8" s="1"/>
  <c r="I175" i="8"/>
  <c r="I176" i="8" s="1"/>
  <c r="I177" i="8" s="1"/>
  <c r="H175" i="8"/>
  <c r="H176" i="8" s="1"/>
  <c r="H177" i="8" s="1"/>
  <c r="G175" i="8"/>
  <c r="G176" i="8" s="1"/>
  <c r="G177" i="8" s="1"/>
  <c r="F175" i="8"/>
  <c r="F176" i="8" s="1"/>
  <c r="F177" i="8" s="1"/>
  <c r="F178" i="8" s="1"/>
  <c r="E175" i="8"/>
  <c r="E176" i="8" s="1"/>
  <c r="E177" i="8" s="1"/>
  <c r="D175" i="8"/>
  <c r="D176" i="8" s="1"/>
  <c r="D177" i="8" s="1"/>
  <c r="K162" i="8"/>
  <c r="K163" i="8" s="1"/>
  <c r="K164" i="8" s="1"/>
  <c r="K165" i="8" s="1"/>
  <c r="J162" i="8"/>
  <c r="J163" i="8" s="1"/>
  <c r="J164" i="8" s="1"/>
  <c r="J165" i="8" s="1"/>
  <c r="I162" i="8"/>
  <c r="I163" i="8" s="1"/>
  <c r="I164" i="8" s="1"/>
  <c r="I165" i="8" s="1"/>
  <c r="H162" i="8"/>
  <c r="H163" i="8" s="1"/>
  <c r="H164" i="8" s="1"/>
  <c r="H165" i="8" s="1"/>
  <c r="G162" i="8"/>
  <c r="G163" i="8" s="1"/>
  <c r="G164" i="8" s="1"/>
  <c r="G165" i="8" s="1"/>
  <c r="F162" i="8"/>
  <c r="F163" i="8" s="1"/>
  <c r="F164" i="8" s="1"/>
  <c r="F165" i="8" s="1"/>
  <c r="F166" i="8" s="1"/>
  <c r="E162" i="8"/>
  <c r="E163" i="8" s="1"/>
  <c r="E164" i="8" s="1"/>
  <c r="E165" i="8" s="1"/>
  <c r="D162" i="8"/>
  <c r="D163" i="8" s="1"/>
  <c r="D164" i="8" s="1"/>
  <c r="D165" i="8" s="1"/>
  <c r="K150" i="8"/>
  <c r="K151" i="8" s="1"/>
  <c r="J150" i="8"/>
  <c r="J151" i="8" s="1"/>
  <c r="I150" i="8"/>
  <c r="I151" i="8" s="1"/>
  <c r="H150" i="8"/>
  <c r="H151" i="8" s="1"/>
  <c r="G150" i="8"/>
  <c r="G151" i="8" s="1"/>
  <c r="F150" i="8"/>
  <c r="F151" i="8" s="1"/>
  <c r="E150" i="8"/>
  <c r="E151" i="8" s="1"/>
  <c r="D150" i="8"/>
  <c r="D151" i="8" s="1"/>
  <c r="K138" i="8"/>
  <c r="K139" i="8" s="1"/>
  <c r="K140" i="8" s="1"/>
  <c r="J138" i="8"/>
  <c r="J139" i="8" s="1"/>
  <c r="J140" i="8" s="1"/>
  <c r="I138" i="8"/>
  <c r="I139" i="8" s="1"/>
  <c r="I140" i="8" s="1"/>
  <c r="H138" i="8"/>
  <c r="H139" i="8" s="1"/>
  <c r="H140" i="8" s="1"/>
  <c r="G138" i="8"/>
  <c r="G139" i="8" s="1"/>
  <c r="G140" i="8" s="1"/>
  <c r="F138" i="8"/>
  <c r="F139" i="8" s="1"/>
  <c r="F140" i="8" s="1"/>
  <c r="E138" i="8"/>
  <c r="E139" i="8" s="1"/>
  <c r="E140" i="8" s="1"/>
  <c r="D138" i="8"/>
  <c r="D139" i="8" s="1"/>
  <c r="D140" i="8" s="1"/>
  <c r="K126" i="8"/>
  <c r="K127" i="8" s="1"/>
  <c r="J126" i="8"/>
  <c r="J127" i="8" s="1"/>
  <c r="I126" i="8"/>
  <c r="I127" i="8" s="1"/>
  <c r="H126" i="8"/>
  <c r="H127" i="8" s="1"/>
  <c r="G126" i="8"/>
  <c r="G127" i="8" s="1"/>
  <c r="F126" i="8"/>
  <c r="F127" i="8" s="1"/>
  <c r="E126" i="8"/>
  <c r="E127" i="8" s="1"/>
  <c r="D126" i="8"/>
  <c r="D127" i="8" s="1"/>
  <c r="K112" i="8"/>
  <c r="K113" i="8" s="1"/>
  <c r="K114" i="8" s="1"/>
  <c r="K115" i="8" s="1"/>
  <c r="J112" i="8"/>
  <c r="J113" i="8" s="1"/>
  <c r="J114" i="8" s="1"/>
  <c r="J115" i="8" s="1"/>
  <c r="I112" i="8"/>
  <c r="I113" i="8" s="1"/>
  <c r="I114" i="8" s="1"/>
  <c r="I115" i="8" s="1"/>
  <c r="H112" i="8"/>
  <c r="H113" i="8" s="1"/>
  <c r="H114" i="8" s="1"/>
  <c r="H115" i="8" s="1"/>
  <c r="G112" i="8"/>
  <c r="G113" i="8" s="1"/>
  <c r="G114" i="8" s="1"/>
  <c r="G115" i="8" s="1"/>
  <c r="F112" i="8"/>
  <c r="F113" i="8" s="1"/>
  <c r="F114" i="8" s="1"/>
  <c r="F115" i="8" s="1"/>
  <c r="E112" i="8"/>
  <c r="E113" i="8" s="1"/>
  <c r="E114" i="8" s="1"/>
  <c r="E115" i="8" s="1"/>
  <c r="D112" i="8"/>
  <c r="D113" i="8" s="1"/>
  <c r="D114" i="8" s="1"/>
  <c r="D115" i="8" s="1"/>
  <c r="D116" i="8" s="1"/>
  <c r="K101" i="8"/>
  <c r="K102" i="8" s="1"/>
  <c r="J101" i="8"/>
  <c r="J102" i="8" s="1"/>
  <c r="I101" i="8"/>
  <c r="I102" i="8" s="1"/>
  <c r="H101" i="8"/>
  <c r="H102" i="8" s="1"/>
  <c r="G101" i="8"/>
  <c r="G102" i="8" s="1"/>
  <c r="F101" i="8"/>
  <c r="F102" i="8" s="1"/>
  <c r="F103" i="8" s="1"/>
  <c r="E101" i="8"/>
  <c r="E102" i="8" s="1"/>
  <c r="D101" i="8"/>
  <c r="D102" i="8" s="1"/>
  <c r="K88" i="8"/>
  <c r="K89" i="8" s="1"/>
  <c r="K90" i="8" s="1"/>
  <c r="J88" i="8"/>
  <c r="J89" i="8" s="1"/>
  <c r="J90" i="8" s="1"/>
  <c r="I88" i="8"/>
  <c r="I89" i="8" s="1"/>
  <c r="I90" i="8" s="1"/>
  <c r="H88" i="8"/>
  <c r="H89" i="8" s="1"/>
  <c r="H90" i="8" s="1"/>
  <c r="G88" i="8"/>
  <c r="G89" i="8" s="1"/>
  <c r="G90" i="8" s="1"/>
  <c r="F88" i="8"/>
  <c r="F89" i="8" s="1"/>
  <c r="F90" i="8" s="1"/>
  <c r="F91" i="8" s="1"/>
  <c r="E88" i="8"/>
  <c r="E89" i="8" s="1"/>
  <c r="E90" i="8" s="1"/>
  <c r="D88" i="8"/>
  <c r="D89" i="8" s="1"/>
  <c r="D90" i="8" s="1"/>
  <c r="K79" i="8"/>
  <c r="I79" i="8"/>
  <c r="H79" i="8"/>
  <c r="G79" i="8"/>
  <c r="F79" i="8"/>
  <c r="D78" i="8"/>
  <c r="D79" i="8" s="1"/>
  <c r="D80" i="8" s="1"/>
  <c r="E76" i="8"/>
  <c r="E77" i="8" s="1"/>
  <c r="E78" i="8" s="1"/>
  <c r="E79" i="8" s="1"/>
  <c r="K66" i="8"/>
  <c r="K67" i="8" s="1"/>
  <c r="I66" i="8"/>
  <c r="I67" i="8" s="1"/>
  <c r="H66" i="8"/>
  <c r="F66" i="8"/>
  <c r="F67" i="8" s="1"/>
  <c r="D66" i="8"/>
  <c r="D67" i="8" s="1"/>
  <c r="G65" i="8"/>
  <c r="G66" i="8" s="1"/>
  <c r="G67" i="8" s="1"/>
  <c r="E63" i="8"/>
  <c r="E64" i="8" s="1"/>
  <c r="E65" i="8" s="1"/>
  <c r="E66" i="8" s="1"/>
  <c r="E67" i="8" s="1"/>
  <c r="K49" i="8"/>
  <c r="K50" i="8" s="1"/>
  <c r="K51" i="8" s="1"/>
  <c r="J49" i="8"/>
  <c r="J50" i="8" s="1"/>
  <c r="J51" i="8" s="1"/>
  <c r="I49" i="8"/>
  <c r="I50" i="8" s="1"/>
  <c r="I51" i="8" s="1"/>
  <c r="H49" i="8"/>
  <c r="H50" i="8" s="1"/>
  <c r="H51" i="8" s="1"/>
  <c r="H52" i="8" s="1"/>
  <c r="G49" i="8"/>
  <c r="G50" i="8" s="1"/>
  <c r="G51" i="8" s="1"/>
  <c r="G52" i="8" s="1"/>
  <c r="F49" i="8"/>
  <c r="F50" i="8" s="1"/>
  <c r="F51" i="8" s="1"/>
  <c r="F52" i="8" s="1"/>
  <c r="E49" i="8"/>
  <c r="E50" i="8" s="1"/>
  <c r="E51" i="8" s="1"/>
  <c r="D49" i="8"/>
  <c r="D50" i="8" s="1"/>
  <c r="D51" i="8" s="1"/>
  <c r="I38" i="8" l="1"/>
  <c r="D39" i="8"/>
  <c r="F38" i="8"/>
  <c r="F39" i="8" s="1"/>
  <c r="H39" i="8"/>
  <c r="G37" i="8"/>
  <c r="G38" i="8" s="1"/>
  <c r="G39" i="8" s="1"/>
  <c r="K37" i="8"/>
  <c r="K38" i="8" s="1"/>
  <c r="K39" i="8" s="1"/>
  <c r="F229" i="8"/>
  <c r="D229" i="8"/>
  <c r="I141" i="8"/>
  <c r="K152" i="8"/>
  <c r="D178" i="8"/>
  <c r="E80" i="8"/>
  <c r="H80" i="8"/>
  <c r="F80" i="8"/>
  <c r="K80" i="8"/>
  <c r="E152" i="8"/>
  <c r="I152" i="8"/>
  <c r="G216" i="8"/>
  <c r="K216" i="8"/>
  <c r="G241" i="8"/>
  <c r="K241" i="8"/>
  <c r="E19" i="8"/>
  <c r="D18" i="8"/>
  <c r="D19" i="8" s="1"/>
  <c r="G80" i="8"/>
  <c r="G81" i="8" s="1"/>
  <c r="F152" i="8"/>
  <c r="E166" i="8"/>
  <c r="F167" i="8" s="1"/>
  <c r="H178" i="8"/>
  <c r="H203" i="8"/>
  <c r="H229" i="8"/>
  <c r="D241" i="8"/>
  <c r="F242" i="8" s="1"/>
  <c r="F243" i="8" s="1"/>
  <c r="H241" i="8"/>
  <c r="I128" i="8"/>
  <c r="K166" i="8"/>
  <c r="K52" i="8"/>
  <c r="G68" i="8"/>
  <c r="E81" i="8"/>
  <c r="G91" i="8"/>
  <c r="K91" i="8"/>
  <c r="K103" i="8"/>
  <c r="G166" i="8"/>
  <c r="G178" i="8"/>
  <c r="K178" i="8"/>
  <c r="G203" i="8"/>
  <c r="K203" i="8"/>
  <c r="J229" i="8"/>
  <c r="I230" i="8" s="1"/>
  <c r="K68" i="8"/>
  <c r="G128" i="8"/>
  <c r="D52" i="8"/>
  <c r="D68" i="8"/>
  <c r="D69" i="8" s="1"/>
  <c r="K70" i="8" s="1"/>
  <c r="D103" i="8"/>
  <c r="H103" i="8"/>
  <c r="G152" i="8"/>
  <c r="D166" i="8"/>
  <c r="D167" i="8" s="1"/>
  <c r="H166" i="8"/>
  <c r="H167" i="8" s="1"/>
  <c r="I191" i="8"/>
  <c r="D203" i="8"/>
  <c r="E68" i="8"/>
  <c r="E52" i="8"/>
  <c r="I52" i="8"/>
  <c r="F53" i="8" s="1"/>
  <c r="F68" i="8"/>
  <c r="H116" i="8"/>
  <c r="F128" i="8"/>
  <c r="D152" i="8"/>
  <c r="H152" i="8"/>
  <c r="I166" i="8"/>
  <c r="E178" i="8"/>
  <c r="I178" i="8"/>
  <c r="D179" i="8" s="1"/>
  <c r="E203" i="8"/>
  <c r="I203" i="8"/>
  <c r="K242" i="8"/>
  <c r="K243" i="8" s="1"/>
  <c r="K116" i="8"/>
  <c r="H141" i="8"/>
  <c r="J116" i="8"/>
  <c r="D117" i="8" s="1"/>
  <c r="E141" i="8"/>
  <c r="F141" i="8"/>
  <c r="E70" i="8"/>
  <c r="G70" i="8"/>
  <c r="D91" i="8"/>
  <c r="H91" i="8"/>
  <c r="E103" i="8"/>
  <c r="I103" i="8"/>
  <c r="F104" i="8" s="1"/>
  <c r="F105" i="8" s="1"/>
  <c r="I116" i="8"/>
  <c r="K128" i="8"/>
  <c r="J141" i="8"/>
  <c r="I142" i="8" s="1"/>
  <c r="K141" i="8"/>
  <c r="E91" i="8"/>
  <c r="I91" i="8"/>
  <c r="F92" i="8" s="1"/>
  <c r="F116" i="8"/>
  <c r="D128" i="8"/>
  <c r="H128" i="8"/>
  <c r="E128" i="8"/>
  <c r="G141" i="8"/>
  <c r="E116" i="8"/>
  <c r="D191" i="8"/>
  <c r="H191" i="8"/>
  <c r="E192" i="8" s="1"/>
  <c r="D216" i="8"/>
  <c r="H216" i="8"/>
  <c r="K229" i="8"/>
  <c r="G103" i="8"/>
  <c r="I216" i="8"/>
  <c r="F217" i="8" s="1"/>
  <c r="G191" i="8"/>
  <c r="K191" i="8"/>
  <c r="F204" i="8"/>
  <c r="F205" i="8" s="1"/>
  <c r="E229" i="8"/>
  <c r="E241" i="8"/>
  <c r="I241" i="8"/>
  <c r="F40" i="8" l="1"/>
  <c r="F41" i="8" s="1"/>
  <c r="K40" i="8"/>
  <c r="D40" i="8"/>
  <c r="D41" i="8" s="1"/>
  <c r="G40" i="8"/>
  <c r="G41" i="8" s="1"/>
  <c r="F153" i="8"/>
  <c r="F154" i="8" s="1"/>
  <c r="E242" i="8"/>
  <c r="E243" i="8" s="1"/>
  <c r="K230" i="8"/>
  <c r="G242" i="8"/>
  <c r="G243" i="8" s="1"/>
  <c r="K244" i="8" s="1"/>
  <c r="I242" i="8"/>
  <c r="I243" i="8" s="1"/>
  <c r="F70" i="8"/>
  <c r="D153" i="8"/>
  <c r="D154" i="8" s="1"/>
  <c r="E155" i="8" s="1"/>
  <c r="G204" i="8"/>
  <c r="G205" i="8" s="1"/>
  <c r="H242" i="8"/>
  <c r="H243" i="8" s="1"/>
  <c r="F81" i="8"/>
  <c r="E129" i="8"/>
  <c r="G129" i="8"/>
  <c r="D81" i="8"/>
  <c r="E82" i="8" s="1"/>
  <c r="I167" i="8"/>
  <c r="H104" i="8"/>
  <c r="H105" i="8" s="1"/>
  <c r="F129" i="8"/>
  <c r="K104" i="8"/>
  <c r="K105" i="8" s="1"/>
  <c r="I117" i="8"/>
  <c r="D118" i="8" s="1"/>
  <c r="G167" i="8"/>
  <c r="K167" i="8"/>
  <c r="K168" i="8" s="1"/>
  <c r="K153" i="8"/>
  <c r="K154" i="8" s="1"/>
  <c r="H81" i="8"/>
  <c r="E117" i="8"/>
  <c r="E104" i="8"/>
  <c r="E105" i="8" s="1"/>
  <c r="H153" i="8"/>
  <c r="H154" i="8" s="1"/>
  <c r="E153" i="8"/>
  <c r="E154" i="8" s="1"/>
  <c r="G104" i="8"/>
  <c r="G105" i="8" s="1"/>
  <c r="F117" i="8"/>
  <c r="K129" i="8"/>
  <c r="E204" i="8"/>
  <c r="E205" i="8" s="1"/>
  <c r="I192" i="8"/>
  <c r="E193" i="8" s="1"/>
  <c r="G168" i="8"/>
  <c r="G169" i="8" s="1"/>
  <c r="K192" i="8"/>
  <c r="H129" i="8"/>
  <c r="K204" i="8"/>
  <c r="K205" i="8" s="1"/>
  <c r="D53" i="8"/>
  <c r="D192" i="8"/>
  <c r="G192" i="8"/>
  <c r="G193" i="8" s="1"/>
  <c r="D129" i="8"/>
  <c r="G153" i="8"/>
  <c r="G154" i="8" s="1"/>
  <c r="G155" i="8"/>
  <c r="K179" i="8"/>
  <c r="H179" i="8"/>
  <c r="E230" i="8"/>
  <c r="E231" i="8" s="1"/>
  <c r="F179" i="8"/>
  <c r="H217" i="8"/>
  <c r="F218" i="8" s="1"/>
  <c r="G142" i="8"/>
  <c r="F192" i="8"/>
  <c r="G71" i="8"/>
  <c r="F155" i="8"/>
  <c r="H53" i="8"/>
  <c r="K53" i="8"/>
  <c r="D230" i="8"/>
  <c r="D231" i="8" s="1"/>
  <c r="E179" i="8"/>
  <c r="D180" i="8" s="1"/>
  <c r="E53" i="8"/>
  <c r="F230" i="8"/>
  <c r="F231" i="8" s="1"/>
  <c r="G179" i="8"/>
  <c r="K231" i="8"/>
  <c r="D217" i="8"/>
  <c r="K71" i="8"/>
  <c r="H142" i="8"/>
  <c r="H143" i="8" s="1"/>
  <c r="G53" i="8"/>
  <c r="H230" i="8"/>
  <c r="H231" i="8" s="1"/>
  <c r="K217" i="8"/>
  <c r="D204" i="8"/>
  <c r="D205" i="8" s="1"/>
  <c r="E206" i="8" s="1"/>
  <c r="H204" i="8"/>
  <c r="H205" i="8" s="1"/>
  <c r="E92" i="8"/>
  <c r="G217" i="8"/>
  <c r="K142" i="8"/>
  <c r="K143" i="8" s="1"/>
  <c r="E71" i="8"/>
  <c r="F168" i="8"/>
  <c r="F142" i="8"/>
  <c r="F143" i="8" s="1"/>
  <c r="K117" i="8"/>
  <c r="F130" i="8"/>
  <c r="D104" i="8"/>
  <c r="D105" i="8" s="1"/>
  <c r="F106" i="8" s="1"/>
  <c r="G92" i="8"/>
  <c r="D92" i="8"/>
  <c r="K92" i="8"/>
  <c r="F93" i="8" s="1"/>
  <c r="H168" i="8"/>
  <c r="H169" i="8" s="1"/>
  <c r="E142" i="8"/>
  <c r="E143" i="8" s="1"/>
  <c r="H117" i="8"/>
  <c r="H118" i="8" s="1"/>
  <c r="G143" i="8"/>
  <c r="E217" i="8"/>
  <c r="H92" i="8"/>
  <c r="D168" i="8"/>
  <c r="D42" i="8" l="1"/>
  <c r="D43" i="8" s="1"/>
  <c r="F42" i="8"/>
  <c r="F43" i="8" s="1"/>
  <c r="G72" i="8"/>
  <c r="G130" i="8"/>
  <c r="E130" i="8"/>
  <c r="F244" i="8"/>
  <c r="F245" i="8" s="1"/>
  <c r="H244" i="8"/>
  <c r="F193" i="8"/>
  <c r="E244" i="8"/>
  <c r="E245" i="8" s="1"/>
  <c r="E246" i="8" s="1"/>
  <c r="I244" i="8"/>
  <c r="I245" i="8" s="1"/>
  <c r="I246" i="8" s="1"/>
  <c r="H155" i="8"/>
  <c r="K155" i="8"/>
  <c r="G156" i="8"/>
  <c r="G157" i="8" s="1"/>
  <c r="G82" i="8"/>
  <c r="F82" i="8"/>
  <c r="H82" i="8"/>
  <c r="D193" i="8"/>
  <c r="D194" i="8" s="1"/>
  <c r="K193" i="8"/>
  <c r="K194" i="8" s="1"/>
  <c r="E195" i="8" s="1"/>
  <c r="D130" i="8"/>
  <c r="D131" i="8" s="1"/>
  <c r="K130" i="8"/>
  <c r="G131" i="8" s="1"/>
  <c r="G144" i="8"/>
  <c r="E118" i="8"/>
  <c r="D119" i="8" s="1"/>
  <c r="K218" i="8"/>
  <c r="F232" i="8"/>
  <c r="H156" i="8"/>
  <c r="D232" i="8"/>
  <c r="D233" i="8" s="1"/>
  <c r="F180" i="8"/>
  <c r="F118" i="8"/>
  <c r="G83" i="8"/>
  <c r="K118" i="8"/>
  <c r="H232" i="8"/>
  <c r="K245" i="8"/>
  <c r="G106" i="8"/>
  <c r="G107" i="8" s="1"/>
  <c r="F131" i="8"/>
  <c r="D132" i="8" s="1"/>
  <c r="D133" i="8" s="1"/>
  <c r="F169" i="8"/>
  <c r="K106" i="8"/>
  <c r="F107" i="8" s="1"/>
  <c r="E144" i="8"/>
  <c r="E156" i="8"/>
  <c r="F156" i="8"/>
  <c r="E218" i="8"/>
  <c r="E83" i="8"/>
  <c r="E72" i="8"/>
  <c r="E194" i="8"/>
  <c r="F144" i="8"/>
  <c r="G218" i="8"/>
  <c r="G219" i="8" s="1"/>
  <c r="G220" i="8" s="1"/>
  <c r="D218" i="8"/>
  <c r="G180" i="8"/>
  <c r="E54" i="8"/>
  <c r="F219" i="8"/>
  <c r="F220" i="8" s="1"/>
  <c r="E106" i="8"/>
  <c r="K169" i="8"/>
  <c r="D93" i="8"/>
  <c r="D94" i="8" s="1"/>
  <c r="K54" i="8"/>
  <c r="H206" i="8"/>
  <c r="E207" i="8" s="1"/>
  <c r="G206" i="8"/>
  <c r="E232" i="8"/>
  <c r="F54" i="8"/>
  <c r="F55" i="8" s="1"/>
  <c r="F56" i="8" s="1"/>
  <c r="K206" i="8"/>
  <c r="H180" i="8"/>
  <c r="D54" i="8"/>
  <c r="G54" i="8"/>
  <c r="G55" i="8" s="1"/>
  <c r="G56" i="8" s="1"/>
  <c r="E131" i="8"/>
  <c r="F206" i="8"/>
  <c r="K180" i="8"/>
  <c r="D181" i="8" s="1"/>
  <c r="G194" i="8"/>
  <c r="E93" i="8"/>
  <c r="H93" i="8"/>
  <c r="F94" i="8" s="1"/>
  <c r="G170" i="8"/>
  <c r="H106" i="8"/>
  <c r="H107" i="8" s="1"/>
  <c r="G93" i="8"/>
  <c r="H144" i="8"/>
  <c r="F44" i="8" l="1"/>
  <c r="F45" i="8" s="1"/>
  <c r="E247" i="8"/>
  <c r="E248" i="8" s="1"/>
  <c r="E107" i="8"/>
  <c r="F119" i="8"/>
  <c r="D120" i="8" s="1"/>
  <c r="K119" i="8"/>
  <c r="K120" i="8" s="1"/>
  <c r="K121" i="8" s="1"/>
  <c r="G108" i="8"/>
  <c r="G109" i="8" s="1"/>
  <c r="G132" i="8"/>
  <c r="G133" i="8" s="1"/>
  <c r="E132" i="8"/>
  <c r="E133" i="8" s="1"/>
  <c r="E134" i="8" s="1"/>
  <c r="D135" i="8" s="1"/>
  <c r="F157" i="8"/>
  <c r="G158" i="8" s="1"/>
  <c r="G159" i="8" s="1"/>
  <c r="E145" i="8"/>
  <c r="H119" i="8"/>
  <c r="H120" i="8" s="1"/>
  <c r="D121" i="8" s="1"/>
  <c r="D219" i="8"/>
  <c r="D220" i="8" s="1"/>
  <c r="G221" i="8" s="1"/>
  <c r="E157" i="8"/>
  <c r="E158" i="8" s="1"/>
  <c r="E159" i="8" s="1"/>
  <c r="F233" i="8"/>
  <c r="D234" i="8" s="1"/>
  <c r="D235" i="8" s="1"/>
  <c r="F246" i="8"/>
  <c r="F247" i="8" s="1"/>
  <c r="F248" i="8" s="1"/>
  <c r="F83" i="8"/>
  <c r="F84" i="8" s="1"/>
  <c r="E219" i="8"/>
  <c r="E220" i="8" s="1"/>
  <c r="E233" i="8"/>
  <c r="E234" i="8" s="1"/>
  <c r="E235" i="8" s="1"/>
  <c r="G84" i="8"/>
  <c r="G85" i="8" s="1"/>
  <c r="F170" i="8"/>
  <c r="H170" i="8"/>
  <c r="D134" i="8"/>
  <c r="E94" i="8"/>
  <c r="D95" i="8" s="1"/>
  <c r="D96" i="8" s="1"/>
  <c r="D55" i="8"/>
  <c r="D56" i="8" s="1"/>
  <c r="G57" i="8" s="1"/>
  <c r="F108" i="8"/>
  <c r="F109" i="8" s="1"/>
  <c r="E108" i="8"/>
  <c r="E109" i="8" s="1"/>
  <c r="E55" i="8"/>
  <c r="E56" i="8" s="1"/>
  <c r="H181" i="8"/>
  <c r="D182" i="8" s="1"/>
  <c r="G94" i="8"/>
  <c r="F207" i="8"/>
  <c r="F208" i="8" s="1"/>
  <c r="G181" i="8"/>
  <c r="F181" i="8"/>
  <c r="G171" i="8"/>
  <c r="G172" i="8" s="1"/>
  <c r="K207" i="8"/>
  <c r="K208" i="8" s="1"/>
  <c r="F209" i="8" s="1"/>
  <c r="F210" i="8" s="1"/>
  <c r="G207" i="8"/>
  <c r="G208" i="8" s="1"/>
  <c r="G195" i="8"/>
  <c r="E196" i="8" s="1"/>
  <c r="E197" i="8" s="1"/>
  <c r="D195" i="8"/>
  <c r="G145" i="8"/>
  <c r="F145" i="8"/>
  <c r="F171" i="8" l="1"/>
  <c r="F172" i="8" s="1"/>
  <c r="F221" i="8"/>
  <c r="E221" i="8"/>
  <c r="E222" i="8" s="1"/>
  <c r="E223" i="8" s="1"/>
  <c r="E146" i="8"/>
  <c r="E147" i="8" s="1"/>
  <c r="F85" i="8"/>
  <c r="G209" i="8"/>
  <c r="G210" i="8" s="1"/>
  <c r="G146" i="8"/>
  <c r="G147" i="8" s="1"/>
  <c r="F57" i="8"/>
  <c r="G58" i="8" s="1"/>
  <c r="G59" i="8" s="1"/>
  <c r="G95" i="8"/>
  <c r="G96" i="8" s="1"/>
  <c r="D97" i="8" s="1"/>
  <c r="F95" i="8"/>
  <c r="F96" i="8" s="1"/>
  <c r="E57" i="8"/>
  <c r="G222" i="8"/>
  <c r="G223" i="8" s="1"/>
  <c r="D122" i="8"/>
  <c r="D123" i="8" s="1"/>
  <c r="F182" i="8"/>
  <c r="D183" i="8" s="1"/>
  <c r="E58" i="8"/>
  <c r="E59" i="8" s="1"/>
  <c r="G182" i="8"/>
  <c r="D196" i="8"/>
  <c r="D197" i="8" s="1"/>
  <c r="F97" i="8" l="1"/>
  <c r="D98" i="8" s="1"/>
  <c r="G183" i="8"/>
  <c r="K37" i="5" l="1"/>
  <c r="E36" i="5"/>
  <c r="F36" i="5"/>
  <c r="F37" i="5" s="1"/>
  <c r="G36" i="5"/>
  <c r="G37" i="5" s="1"/>
  <c r="H36" i="5"/>
  <c r="H37" i="5" s="1"/>
  <c r="I36" i="5"/>
  <c r="I37" i="5" s="1"/>
  <c r="J36" i="5"/>
  <c r="J37" i="5" s="1"/>
  <c r="K36" i="5"/>
  <c r="E17" i="5"/>
  <c r="E18" i="5" s="1"/>
  <c r="E19" i="5" s="1"/>
  <c r="F17" i="5"/>
  <c r="F18" i="5" s="1"/>
  <c r="F19" i="5" s="1"/>
  <c r="F20" i="5" s="1"/>
  <c r="H17" i="5"/>
  <c r="H18" i="5" s="1"/>
  <c r="H19" i="5" s="1"/>
  <c r="H20" i="5" s="1"/>
  <c r="I17" i="5"/>
  <c r="I18" i="5" s="1"/>
  <c r="I19" i="5" s="1"/>
  <c r="I20" i="5" s="1"/>
  <c r="J17" i="5"/>
  <c r="J18" i="5" s="1"/>
  <c r="J19" i="5" s="1"/>
  <c r="J20" i="5" s="1"/>
  <c r="K17" i="5"/>
  <c r="K18" i="5" s="1"/>
  <c r="K19" i="5" s="1"/>
  <c r="K20" i="5" s="1"/>
  <c r="D17" i="5"/>
  <c r="D18" i="5" s="1"/>
  <c r="K28" i="3"/>
  <c r="K29" i="3" s="1"/>
  <c r="J28" i="3"/>
  <c r="J29" i="3" s="1"/>
  <c r="I28" i="3"/>
  <c r="I29" i="3" s="1"/>
  <c r="H28" i="3"/>
  <c r="H29" i="3" s="1"/>
  <c r="G28" i="3"/>
  <c r="G29" i="3" s="1"/>
  <c r="F28" i="3"/>
  <c r="F29" i="3" s="1"/>
  <c r="F30" i="3" s="1"/>
  <c r="D28" i="3"/>
  <c r="D29" i="3" s="1"/>
  <c r="K3" i="3"/>
  <c r="K4" i="3" s="1"/>
  <c r="K5" i="3" s="1"/>
  <c r="J3" i="3"/>
  <c r="J4" i="3" s="1"/>
  <c r="J5" i="3" s="1"/>
  <c r="I3" i="3"/>
  <c r="I4" i="3" s="1"/>
  <c r="I5" i="3" s="1"/>
  <c r="H3" i="3"/>
  <c r="H4" i="3" s="1"/>
  <c r="H5" i="3" s="1"/>
  <c r="H6" i="3" s="1"/>
  <c r="G3" i="3"/>
  <c r="F3" i="3"/>
  <c r="F4" i="3" s="1"/>
  <c r="F5" i="3" s="1"/>
  <c r="F6" i="3" s="1"/>
  <c r="D3" i="3"/>
  <c r="D4" i="3" s="1"/>
  <c r="D5" i="3" s="1"/>
  <c r="F22" i="8"/>
  <c r="F23" i="8" s="1"/>
  <c r="G22" i="8"/>
  <c r="G23" i="8" s="1"/>
  <c r="G24" i="8" s="1"/>
  <c r="H22" i="8"/>
  <c r="H23" i="8" s="1"/>
  <c r="I22" i="8"/>
  <c r="I23" i="8" s="1"/>
  <c r="J22" i="8"/>
  <c r="J23" i="8" s="1"/>
  <c r="K22" i="8"/>
  <c r="K23" i="8" s="1"/>
  <c r="K24" i="8" s="1"/>
  <c r="D22" i="8"/>
  <c r="D23" i="8" s="1"/>
  <c r="I24" i="8" l="1"/>
  <c r="D24" i="8"/>
  <c r="H24" i="8"/>
  <c r="K25" i="8" s="1"/>
  <c r="F38" i="5"/>
  <c r="I38" i="5"/>
  <c r="H38" i="5"/>
  <c r="K38" i="5"/>
  <c r="G38" i="5"/>
  <c r="G30" i="3"/>
  <c r="K30" i="3"/>
  <c r="D30" i="3"/>
  <c r="H30" i="3"/>
  <c r="F31" i="3" s="1"/>
  <c r="I30" i="3"/>
  <c r="K6" i="3"/>
  <c r="D6" i="3"/>
  <c r="D7" i="3" s="1"/>
  <c r="I6" i="3"/>
  <c r="I7" i="3" s="1"/>
  <c r="F7" i="3"/>
  <c r="K7" i="3"/>
  <c r="F24" i="8"/>
  <c r="F25" i="8" l="1"/>
  <c r="K26" i="8" s="1"/>
  <c r="G25" i="8"/>
  <c r="G26" i="8" s="1"/>
  <c r="D25" i="8"/>
  <c r="I25" i="8"/>
  <c r="D31" i="3"/>
  <c r="D32" i="3" s="1"/>
  <c r="I31" i="3"/>
  <c r="I32" i="3" s="1"/>
  <c r="K31" i="3"/>
  <c r="K32" i="3" s="1"/>
  <c r="G31" i="3"/>
  <c r="G32" i="3" s="1"/>
  <c r="D8" i="3"/>
  <c r="F8" i="3"/>
  <c r="I8" i="3"/>
  <c r="I26" i="8" l="1"/>
  <c r="G27" i="8" s="1"/>
  <c r="D26" i="8"/>
  <c r="D27" i="8" s="1"/>
  <c r="D9" i="3"/>
  <c r="G33" i="3"/>
  <c r="D33" i="3"/>
  <c r="K33" i="3"/>
  <c r="F9" i="3"/>
  <c r="D10" i="3" s="1"/>
  <c r="F3" i="8"/>
  <c r="F4" i="8" s="1"/>
  <c r="F5" i="8" s="1"/>
  <c r="G3" i="8"/>
  <c r="H3" i="8"/>
  <c r="H4" i="8" s="1"/>
  <c r="H5" i="8" s="1"/>
  <c r="I3" i="8"/>
  <c r="I4" i="8" s="1"/>
  <c r="I5" i="8" s="1"/>
  <c r="J3" i="8"/>
  <c r="J4" i="8" s="1"/>
  <c r="J5" i="8" s="1"/>
  <c r="K3" i="8"/>
  <c r="K4" i="8" s="1"/>
  <c r="K5" i="8" s="1"/>
  <c r="D3" i="8"/>
  <c r="D4" i="8" s="1"/>
  <c r="D5" i="8" s="1"/>
  <c r="C21" i="8"/>
  <c r="E22" i="8" s="1"/>
  <c r="E23" i="8" s="1"/>
  <c r="E24" i="8" s="1"/>
  <c r="E25" i="8" s="1"/>
  <c r="E26" i="8" s="1"/>
  <c r="C2" i="8"/>
  <c r="E3" i="8" s="1"/>
  <c r="E4" i="8" s="1"/>
  <c r="E5" i="8" s="1"/>
  <c r="C7" i="7"/>
  <c r="D7" i="7"/>
  <c r="E7" i="7"/>
  <c r="F7" i="7"/>
  <c r="B7" i="7"/>
  <c r="C5" i="7"/>
  <c r="D5" i="7"/>
  <c r="E5" i="7"/>
  <c r="F5" i="7"/>
  <c r="B5" i="7"/>
  <c r="C3" i="7"/>
  <c r="D3" i="7"/>
  <c r="E3" i="7"/>
  <c r="F3" i="7"/>
  <c r="B3" i="7"/>
  <c r="F23" i="6"/>
  <c r="K248" i="5"/>
  <c r="K249" i="5" s="1"/>
  <c r="K250" i="5" s="1"/>
  <c r="J248" i="5"/>
  <c r="J249" i="5" s="1"/>
  <c r="J250" i="5" s="1"/>
  <c r="I248" i="5"/>
  <c r="I249" i="5" s="1"/>
  <c r="I250" i="5" s="1"/>
  <c r="I251" i="5" s="1"/>
  <c r="H248" i="5"/>
  <c r="H249" i="5" s="1"/>
  <c r="H250" i="5" s="1"/>
  <c r="G248" i="5"/>
  <c r="G249" i="5" s="1"/>
  <c r="G250" i="5" s="1"/>
  <c r="F248" i="5"/>
  <c r="F249" i="5" s="1"/>
  <c r="F250" i="5" s="1"/>
  <c r="F251" i="5" s="1"/>
  <c r="E248" i="5"/>
  <c r="E249" i="5" s="1"/>
  <c r="E250" i="5" s="1"/>
  <c r="E251" i="5" s="1"/>
  <c r="D248" i="5"/>
  <c r="D249" i="5" s="1"/>
  <c r="D250" i="5" s="1"/>
  <c r="K234" i="5"/>
  <c r="K235" i="5" s="1"/>
  <c r="K236" i="5" s="1"/>
  <c r="J234" i="5"/>
  <c r="J235" i="5" s="1"/>
  <c r="J236" i="5" s="1"/>
  <c r="I234" i="5"/>
  <c r="I235" i="5" s="1"/>
  <c r="I236" i="5" s="1"/>
  <c r="I237" i="5" s="1"/>
  <c r="H234" i="5"/>
  <c r="H235" i="5" s="1"/>
  <c r="H236" i="5" s="1"/>
  <c r="G234" i="5"/>
  <c r="G235" i="5" s="1"/>
  <c r="F234" i="5"/>
  <c r="F235" i="5" s="1"/>
  <c r="F236" i="5" s="1"/>
  <c r="F237" i="5" s="1"/>
  <c r="D234" i="5"/>
  <c r="D235" i="5" s="1"/>
  <c r="D236" i="5" s="1"/>
  <c r="D237" i="5" s="1"/>
  <c r="D238" i="5" s="1"/>
  <c r="C233" i="5"/>
  <c r="E234" i="5" s="1"/>
  <c r="E235" i="5" s="1"/>
  <c r="E236" i="5" s="1"/>
  <c r="K221" i="5"/>
  <c r="K222" i="5" s="1"/>
  <c r="K223" i="5" s="1"/>
  <c r="J221" i="5"/>
  <c r="J222" i="5" s="1"/>
  <c r="J223" i="5" s="1"/>
  <c r="I221" i="5"/>
  <c r="I222" i="5" s="1"/>
  <c r="I223" i="5" s="1"/>
  <c r="H221" i="5"/>
  <c r="H222" i="5" s="1"/>
  <c r="H223" i="5" s="1"/>
  <c r="G221" i="5"/>
  <c r="G222" i="5" s="1"/>
  <c r="G223" i="5" s="1"/>
  <c r="F221" i="5"/>
  <c r="F222" i="5" s="1"/>
  <c r="F223" i="5" s="1"/>
  <c r="E221" i="5"/>
  <c r="E222" i="5" s="1"/>
  <c r="E223" i="5" s="1"/>
  <c r="D221" i="5"/>
  <c r="D222" i="5" s="1"/>
  <c r="D223" i="5" s="1"/>
  <c r="K208" i="5"/>
  <c r="K209" i="5" s="1"/>
  <c r="K210" i="5" s="1"/>
  <c r="J208" i="5"/>
  <c r="J209" i="5" s="1"/>
  <c r="J210" i="5" s="1"/>
  <c r="I208" i="5"/>
  <c r="I209" i="5" s="1"/>
  <c r="I210" i="5" s="1"/>
  <c r="H208" i="5"/>
  <c r="H209" i="5" s="1"/>
  <c r="H210" i="5" s="1"/>
  <c r="G208" i="5"/>
  <c r="G209" i="5" s="1"/>
  <c r="G210" i="5" s="1"/>
  <c r="F208" i="5"/>
  <c r="F209" i="5" s="1"/>
  <c r="F210" i="5" s="1"/>
  <c r="F211" i="5" s="1"/>
  <c r="E208" i="5"/>
  <c r="E209" i="5" s="1"/>
  <c r="E210" i="5" s="1"/>
  <c r="D208" i="5"/>
  <c r="D209" i="5" s="1"/>
  <c r="D210" i="5" s="1"/>
  <c r="K195" i="5"/>
  <c r="K196" i="5" s="1"/>
  <c r="K197" i="5" s="1"/>
  <c r="K198" i="5" s="1"/>
  <c r="J195" i="5"/>
  <c r="J196" i="5" s="1"/>
  <c r="J197" i="5" s="1"/>
  <c r="J198" i="5" s="1"/>
  <c r="I195" i="5"/>
  <c r="I196" i="5" s="1"/>
  <c r="I197" i="5" s="1"/>
  <c r="I198" i="5" s="1"/>
  <c r="H195" i="5"/>
  <c r="H196" i="5" s="1"/>
  <c r="H197" i="5" s="1"/>
  <c r="H198" i="5" s="1"/>
  <c r="G195" i="5"/>
  <c r="G196" i="5" s="1"/>
  <c r="G197" i="5" s="1"/>
  <c r="G198" i="5" s="1"/>
  <c r="F195" i="5"/>
  <c r="F196" i="5" s="1"/>
  <c r="F197" i="5" s="1"/>
  <c r="F198" i="5" s="1"/>
  <c r="E195" i="5"/>
  <c r="E196" i="5" s="1"/>
  <c r="E197" i="5" s="1"/>
  <c r="E198" i="5" s="1"/>
  <c r="D195" i="5"/>
  <c r="D196" i="5" s="1"/>
  <c r="D197" i="5" s="1"/>
  <c r="D198" i="5" s="1"/>
  <c r="K183" i="5"/>
  <c r="K184" i="5" s="1"/>
  <c r="K185" i="5" s="1"/>
  <c r="J183" i="5"/>
  <c r="J184" i="5" s="1"/>
  <c r="J185" i="5" s="1"/>
  <c r="I183" i="5"/>
  <c r="I184" i="5" s="1"/>
  <c r="I185" i="5" s="1"/>
  <c r="H183" i="5"/>
  <c r="H184" i="5" s="1"/>
  <c r="H185" i="5" s="1"/>
  <c r="G183" i="5"/>
  <c r="G184" i="5" s="1"/>
  <c r="G185" i="5" s="1"/>
  <c r="F183" i="5"/>
  <c r="F184" i="5" s="1"/>
  <c r="F185" i="5" s="1"/>
  <c r="F186" i="5" s="1"/>
  <c r="E183" i="5"/>
  <c r="E184" i="5" s="1"/>
  <c r="E185" i="5" s="1"/>
  <c r="D183" i="5"/>
  <c r="D184" i="5" s="1"/>
  <c r="D185" i="5" s="1"/>
  <c r="K170" i="5"/>
  <c r="K171" i="5" s="1"/>
  <c r="K172" i="5" s="1"/>
  <c r="K173" i="5" s="1"/>
  <c r="J170" i="5"/>
  <c r="J171" i="5" s="1"/>
  <c r="J172" i="5" s="1"/>
  <c r="J173" i="5" s="1"/>
  <c r="I170" i="5"/>
  <c r="I171" i="5" s="1"/>
  <c r="I172" i="5" s="1"/>
  <c r="I173" i="5" s="1"/>
  <c r="H170" i="5"/>
  <c r="H171" i="5" s="1"/>
  <c r="H172" i="5" s="1"/>
  <c r="H173" i="5" s="1"/>
  <c r="G170" i="5"/>
  <c r="G171" i="5" s="1"/>
  <c r="G172" i="5" s="1"/>
  <c r="G173" i="5" s="1"/>
  <c r="F170" i="5"/>
  <c r="F171" i="5" s="1"/>
  <c r="F172" i="5" s="1"/>
  <c r="F173" i="5" s="1"/>
  <c r="F174" i="5" s="1"/>
  <c r="E170" i="5"/>
  <c r="E171" i="5" s="1"/>
  <c r="E172" i="5" s="1"/>
  <c r="E173" i="5" s="1"/>
  <c r="D170" i="5"/>
  <c r="D171" i="5" s="1"/>
  <c r="D172" i="5" s="1"/>
  <c r="D173" i="5" s="1"/>
  <c r="K159" i="5"/>
  <c r="K160" i="5" s="1"/>
  <c r="K161" i="5" s="1"/>
  <c r="J159" i="5"/>
  <c r="J160" i="5" s="1"/>
  <c r="J161" i="5" s="1"/>
  <c r="I159" i="5"/>
  <c r="I160" i="5" s="1"/>
  <c r="I161" i="5" s="1"/>
  <c r="H159" i="5"/>
  <c r="H160" i="5" s="1"/>
  <c r="H161" i="5" s="1"/>
  <c r="G159" i="5"/>
  <c r="G160" i="5" s="1"/>
  <c r="G161" i="5" s="1"/>
  <c r="F159" i="5"/>
  <c r="F160" i="5" s="1"/>
  <c r="F161" i="5" s="1"/>
  <c r="F162" i="5" s="1"/>
  <c r="F163" i="5" s="1"/>
  <c r="D159" i="5"/>
  <c r="D160" i="5" s="1"/>
  <c r="C158" i="5"/>
  <c r="E159" i="5" s="1"/>
  <c r="E160" i="5" s="1"/>
  <c r="E161" i="5" s="1"/>
  <c r="K147" i="5"/>
  <c r="K148" i="5" s="1"/>
  <c r="K149" i="5" s="1"/>
  <c r="J147" i="5"/>
  <c r="J148" i="5" s="1"/>
  <c r="J149" i="5" s="1"/>
  <c r="I147" i="5"/>
  <c r="I148" i="5" s="1"/>
  <c r="I149" i="5" s="1"/>
  <c r="H147" i="5"/>
  <c r="H148" i="5" s="1"/>
  <c r="H149" i="5" s="1"/>
  <c r="G147" i="5"/>
  <c r="G148" i="5" s="1"/>
  <c r="G149" i="5" s="1"/>
  <c r="F147" i="5"/>
  <c r="F148" i="5" s="1"/>
  <c r="F149" i="5" s="1"/>
  <c r="F150" i="5" s="1"/>
  <c r="E147" i="5"/>
  <c r="C146" i="5"/>
  <c r="D147" i="5" s="1"/>
  <c r="D148" i="5" s="1"/>
  <c r="D149" i="5" s="1"/>
  <c r="K133" i="5"/>
  <c r="K134" i="5" s="1"/>
  <c r="K135" i="5" s="1"/>
  <c r="K136" i="5" s="1"/>
  <c r="J133" i="5"/>
  <c r="J134" i="5" s="1"/>
  <c r="J135" i="5" s="1"/>
  <c r="J136" i="5" s="1"/>
  <c r="I133" i="5"/>
  <c r="I134" i="5" s="1"/>
  <c r="I135" i="5" s="1"/>
  <c r="I136" i="5" s="1"/>
  <c r="H133" i="5"/>
  <c r="H134" i="5" s="1"/>
  <c r="H135" i="5" s="1"/>
  <c r="H136" i="5" s="1"/>
  <c r="G133" i="5"/>
  <c r="G134" i="5" s="1"/>
  <c r="G135" i="5" s="1"/>
  <c r="F133" i="5"/>
  <c r="F134" i="5" s="1"/>
  <c r="F135" i="5" s="1"/>
  <c r="F136" i="5" s="1"/>
  <c r="E133" i="5"/>
  <c r="C132" i="5"/>
  <c r="D133" i="5" s="1"/>
  <c r="D134" i="5" s="1"/>
  <c r="D135" i="5" s="1"/>
  <c r="D136" i="5" s="1"/>
  <c r="K119" i="5"/>
  <c r="K120" i="5" s="1"/>
  <c r="K121" i="5" s="1"/>
  <c r="K122" i="5" s="1"/>
  <c r="J119" i="5"/>
  <c r="J120" i="5" s="1"/>
  <c r="J121" i="5" s="1"/>
  <c r="J122" i="5" s="1"/>
  <c r="I119" i="5"/>
  <c r="I120" i="5" s="1"/>
  <c r="I121" i="5" s="1"/>
  <c r="I122" i="5" s="1"/>
  <c r="H119" i="5"/>
  <c r="H120" i="5" s="1"/>
  <c r="H121" i="5" s="1"/>
  <c r="H122" i="5" s="1"/>
  <c r="G119" i="5"/>
  <c r="G120" i="5" s="1"/>
  <c r="G121" i="5" s="1"/>
  <c r="G122" i="5" s="1"/>
  <c r="F119" i="5"/>
  <c r="F120" i="5" s="1"/>
  <c r="F121" i="5" s="1"/>
  <c r="F122" i="5" s="1"/>
  <c r="E119" i="5"/>
  <c r="E120" i="5" s="1"/>
  <c r="E121" i="5" s="1"/>
  <c r="E122" i="5" s="1"/>
  <c r="D119" i="5"/>
  <c r="D120" i="5" s="1"/>
  <c r="D121" i="5" s="1"/>
  <c r="D122" i="5" s="1"/>
  <c r="K106" i="5"/>
  <c r="K107" i="5" s="1"/>
  <c r="K108" i="5" s="1"/>
  <c r="K109" i="5" s="1"/>
  <c r="J106" i="5"/>
  <c r="J107" i="5" s="1"/>
  <c r="J108" i="5" s="1"/>
  <c r="J109" i="5" s="1"/>
  <c r="I106" i="5"/>
  <c r="I107" i="5" s="1"/>
  <c r="I108" i="5" s="1"/>
  <c r="I109" i="5" s="1"/>
  <c r="H106" i="5"/>
  <c r="H107" i="5" s="1"/>
  <c r="H108" i="5" s="1"/>
  <c r="H109" i="5" s="1"/>
  <c r="F106" i="5"/>
  <c r="F107" i="5" s="1"/>
  <c r="F108" i="5" s="1"/>
  <c r="F109" i="5" s="1"/>
  <c r="E106" i="5"/>
  <c r="D106" i="5"/>
  <c r="D107" i="5" s="1"/>
  <c r="D108" i="5" s="1"/>
  <c r="C105" i="5"/>
  <c r="G106" i="5" s="1"/>
  <c r="G107" i="5" s="1"/>
  <c r="G108" i="5" s="1"/>
  <c r="G109" i="5" s="1"/>
  <c r="K92" i="5"/>
  <c r="K93" i="5" s="1"/>
  <c r="K94" i="5" s="1"/>
  <c r="J92" i="5"/>
  <c r="J93" i="5" s="1"/>
  <c r="J94" i="5" s="1"/>
  <c r="I92" i="5"/>
  <c r="I93" i="5" s="1"/>
  <c r="I94" i="5" s="1"/>
  <c r="H92" i="5"/>
  <c r="H93" i="5" s="1"/>
  <c r="H94" i="5" s="1"/>
  <c r="G92" i="5"/>
  <c r="G93" i="5" s="1"/>
  <c r="G94" i="5" s="1"/>
  <c r="F92" i="5"/>
  <c r="F93" i="5" s="1"/>
  <c r="F94" i="5" s="1"/>
  <c r="D92" i="5"/>
  <c r="D93" i="5" s="1"/>
  <c r="C91" i="5"/>
  <c r="E92" i="5" s="1"/>
  <c r="E93" i="5" s="1"/>
  <c r="E94" i="5" s="1"/>
  <c r="K80" i="5"/>
  <c r="I80" i="5"/>
  <c r="H80" i="5"/>
  <c r="G80" i="5"/>
  <c r="F80" i="5"/>
  <c r="C76" i="5"/>
  <c r="D79" i="5" s="1"/>
  <c r="D80" i="5" s="1"/>
  <c r="D81" i="5" s="1"/>
  <c r="K67" i="5"/>
  <c r="K68" i="5" s="1"/>
  <c r="I67" i="5"/>
  <c r="I68" i="5" s="1"/>
  <c r="H67" i="5"/>
  <c r="F67" i="5"/>
  <c r="F68" i="5" s="1"/>
  <c r="D67" i="5"/>
  <c r="D68" i="5" s="1"/>
  <c r="G66" i="5"/>
  <c r="G67" i="5" s="1"/>
  <c r="G68" i="5" s="1"/>
  <c r="E64" i="5"/>
  <c r="E65" i="5" s="1"/>
  <c r="E66" i="5" s="1"/>
  <c r="E67" i="5" s="1"/>
  <c r="E68" i="5" s="1"/>
  <c r="K49" i="5"/>
  <c r="K50" i="5" s="1"/>
  <c r="K51" i="5" s="1"/>
  <c r="K52" i="5" s="1"/>
  <c r="J49" i="5"/>
  <c r="J50" i="5" s="1"/>
  <c r="J51" i="5" s="1"/>
  <c r="J52" i="5" s="1"/>
  <c r="I49" i="5"/>
  <c r="I50" i="5" s="1"/>
  <c r="I51" i="5" s="1"/>
  <c r="I52" i="5" s="1"/>
  <c r="H49" i="5"/>
  <c r="H50" i="5" s="1"/>
  <c r="H51" i="5" s="1"/>
  <c r="H52" i="5" s="1"/>
  <c r="G49" i="5"/>
  <c r="G50" i="5" s="1"/>
  <c r="G51" i="5" s="1"/>
  <c r="G52" i="5" s="1"/>
  <c r="F49" i="5"/>
  <c r="F50" i="5" s="1"/>
  <c r="F51" i="5" s="1"/>
  <c r="F52" i="5" s="1"/>
  <c r="F53" i="5" s="1"/>
  <c r="D49" i="5"/>
  <c r="C48" i="5"/>
  <c r="E49" i="5" s="1"/>
  <c r="E50" i="5" s="1"/>
  <c r="E51" i="5" s="1"/>
  <c r="E52" i="5" s="1"/>
  <c r="C35" i="5"/>
  <c r="K23" i="5"/>
  <c r="K24" i="5" s="1"/>
  <c r="K25" i="5" s="1"/>
  <c r="K26" i="5" s="1"/>
  <c r="J23" i="5"/>
  <c r="J24" i="5" s="1"/>
  <c r="J25" i="5" s="1"/>
  <c r="J26" i="5" s="1"/>
  <c r="I23" i="5"/>
  <c r="I24" i="5" s="1"/>
  <c r="I25" i="5" s="1"/>
  <c r="I26" i="5" s="1"/>
  <c r="H23" i="5"/>
  <c r="H24" i="5" s="1"/>
  <c r="H25" i="5" s="1"/>
  <c r="H26" i="5" s="1"/>
  <c r="G23" i="5"/>
  <c r="G24" i="5" s="1"/>
  <c r="G25" i="5" s="1"/>
  <c r="F23" i="5"/>
  <c r="F24" i="5" s="1"/>
  <c r="F25" i="5" s="1"/>
  <c r="F26" i="5" s="1"/>
  <c r="D23" i="5"/>
  <c r="D24" i="5" s="1"/>
  <c r="C22" i="5"/>
  <c r="E23" i="5" s="1"/>
  <c r="E24" i="5" s="1"/>
  <c r="E25" i="5" s="1"/>
  <c r="E26" i="5" s="1"/>
  <c r="C16" i="5"/>
  <c r="K3" i="5"/>
  <c r="K4" i="5" s="1"/>
  <c r="K5" i="5" s="1"/>
  <c r="J3" i="5"/>
  <c r="J4" i="5" s="1"/>
  <c r="J5" i="5" s="1"/>
  <c r="I3" i="5"/>
  <c r="I4" i="5" s="1"/>
  <c r="I5" i="5" s="1"/>
  <c r="H3" i="5"/>
  <c r="H4" i="5" s="1"/>
  <c r="H5" i="5" s="1"/>
  <c r="G3" i="5"/>
  <c r="G4" i="5" s="1"/>
  <c r="F3" i="5"/>
  <c r="F4" i="5" s="1"/>
  <c r="F5" i="5" s="1"/>
  <c r="F6" i="5" s="1"/>
  <c r="D3" i="5"/>
  <c r="D4" i="5" s="1"/>
  <c r="D5" i="5" s="1"/>
  <c r="C2" i="5"/>
  <c r="E3" i="5" s="1"/>
  <c r="E4" i="5" s="1"/>
  <c r="E5" i="5" s="1"/>
  <c r="F27" i="4"/>
  <c r="E27" i="4"/>
  <c r="D27" i="4"/>
  <c r="C27" i="4"/>
  <c r="B27" i="4"/>
  <c r="E23" i="4"/>
  <c r="D23" i="4"/>
  <c r="C23" i="4"/>
  <c r="B23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C27" i="2"/>
  <c r="D27" i="2"/>
  <c r="E27" i="2"/>
  <c r="F27" i="2"/>
  <c r="B27" i="2"/>
  <c r="K232" i="3"/>
  <c r="K233" i="3" s="1"/>
  <c r="J232" i="3"/>
  <c r="J233" i="3" s="1"/>
  <c r="I232" i="3"/>
  <c r="I233" i="3" s="1"/>
  <c r="H232" i="3"/>
  <c r="H233" i="3" s="1"/>
  <c r="G232" i="3"/>
  <c r="G233" i="3" s="1"/>
  <c r="F232" i="3"/>
  <c r="F233" i="3" s="1"/>
  <c r="F234" i="3" s="1"/>
  <c r="D232" i="3"/>
  <c r="D233" i="3" s="1"/>
  <c r="C231" i="3"/>
  <c r="E232" i="3" s="1"/>
  <c r="E233" i="3" s="1"/>
  <c r="K220" i="3"/>
  <c r="K221" i="3" s="1"/>
  <c r="K222" i="3" s="1"/>
  <c r="J220" i="3"/>
  <c r="J221" i="3" s="1"/>
  <c r="J222" i="3" s="1"/>
  <c r="I220" i="3"/>
  <c r="I221" i="3" s="1"/>
  <c r="I222" i="3" s="1"/>
  <c r="H220" i="3"/>
  <c r="H221" i="3" s="1"/>
  <c r="H222" i="3" s="1"/>
  <c r="G220" i="3"/>
  <c r="G221" i="3" s="1"/>
  <c r="G222" i="3" s="1"/>
  <c r="F220" i="3"/>
  <c r="F221" i="3" s="1"/>
  <c r="F222" i="3" s="1"/>
  <c r="E220" i="3"/>
  <c r="E221" i="3" s="1"/>
  <c r="E222" i="3" s="1"/>
  <c r="D220" i="3"/>
  <c r="D221" i="3" s="1"/>
  <c r="D222" i="3" s="1"/>
  <c r="K207" i="3"/>
  <c r="K208" i="3" s="1"/>
  <c r="K209" i="3" s="1"/>
  <c r="J207" i="3"/>
  <c r="J208" i="3" s="1"/>
  <c r="J209" i="3" s="1"/>
  <c r="I207" i="3"/>
  <c r="I208" i="3" s="1"/>
  <c r="I209" i="3" s="1"/>
  <c r="H207" i="3"/>
  <c r="H208" i="3" s="1"/>
  <c r="H209" i="3" s="1"/>
  <c r="G207" i="3"/>
  <c r="G208" i="3" s="1"/>
  <c r="G209" i="3" s="1"/>
  <c r="F207" i="3"/>
  <c r="F208" i="3" s="1"/>
  <c r="F209" i="3" s="1"/>
  <c r="D207" i="3"/>
  <c r="C206" i="3"/>
  <c r="E207" i="3" s="1"/>
  <c r="E208" i="3" s="1"/>
  <c r="E209" i="3" s="1"/>
  <c r="K194" i="3"/>
  <c r="K195" i="3" s="1"/>
  <c r="J194" i="3"/>
  <c r="J195" i="3" s="1"/>
  <c r="I194" i="3"/>
  <c r="I195" i="3" s="1"/>
  <c r="I196" i="3" s="1"/>
  <c r="F197" i="3" s="1"/>
  <c r="H194" i="3"/>
  <c r="H195" i="3" s="1"/>
  <c r="G194" i="3"/>
  <c r="G195" i="3" s="1"/>
  <c r="F194" i="3"/>
  <c r="F195" i="3" s="1"/>
  <c r="F196" i="3" s="1"/>
  <c r="D194" i="3"/>
  <c r="C193" i="3"/>
  <c r="E194" i="3" s="1"/>
  <c r="E195" i="3" s="1"/>
  <c r="K187" i="3"/>
  <c r="K188" i="3" s="1"/>
  <c r="K189" i="3" s="1"/>
  <c r="J187" i="3"/>
  <c r="J188" i="3" s="1"/>
  <c r="J189" i="3" s="1"/>
  <c r="I187" i="3"/>
  <c r="I188" i="3" s="1"/>
  <c r="I189" i="3" s="1"/>
  <c r="H187" i="3"/>
  <c r="H188" i="3" s="1"/>
  <c r="H189" i="3" s="1"/>
  <c r="G187" i="3"/>
  <c r="G188" i="3" s="1"/>
  <c r="G189" i="3" s="1"/>
  <c r="F187" i="3"/>
  <c r="F188" i="3" s="1"/>
  <c r="F189" i="3" s="1"/>
  <c r="D187" i="3"/>
  <c r="D188" i="3" s="1"/>
  <c r="C186" i="3"/>
  <c r="E187" i="3" s="1"/>
  <c r="E188" i="3" s="1"/>
  <c r="E189" i="3" s="1"/>
  <c r="K177" i="3"/>
  <c r="K178" i="3" s="1"/>
  <c r="J177" i="3"/>
  <c r="J178" i="3" s="1"/>
  <c r="I177" i="3"/>
  <c r="I178" i="3" s="1"/>
  <c r="H177" i="3"/>
  <c r="H178" i="3" s="1"/>
  <c r="F177" i="3"/>
  <c r="F178" i="3" s="1"/>
  <c r="E177" i="3"/>
  <c r="E178" i="3" s="1"/>
  <c r="E179" i="3" s="1"/>
  <c r="D177" i="3"/>
  <c r="C176" i="3"/>
  <c r="G177" i="3" s="1"/>
  <c r="G178" i="3" s="1"/>
  <c r="K165" i="3"/>
  <c r="K166" i="3" s="1"/>
  <c r="J165" i="3"/>
  <c r="J166" i="3" s="1"/>
  <c r="I165" i="3"/>
  <c r="I166" i="3" s="1"/>
  <c r="H165" i="3"/>
  <c r="H166" i="3" s="1"/>
  <c r="G165" i="3"/>
  <c r="G166" i="3" s="1"/>
  <c r="F165" i="3"/>
  <c r="F166" i="3" s="1"/>
  <c r="F167" i="3" s="1"/>
  <c r="E165" i="3"/>
  <c r="C164" i="3"/>
  <c r="D165" i="3" s="1"/>
  <c r="D166" i="3" s="1"/>
  <c r="K153" i="3"/>
  <c r="K154" i="3" s="1"/>
  <c r="J153" i="3"/>
  <c r="J154" i="3" s="1"/>
  <c r="I153" i="3"/>
  <c r="I154" i="3" s="1"/>
  <c r="H153" i="3"/>
  <c r="H154" i="3" s="1"/>
  <c r="G153" i="3"/>
  <c r="G154" i="3" s="1"/>
  <c r="F153" i="3"/>
  <c r="F154" i="3" s="1"/>
  <c r="F155" i="3" s="1"/>
  <c r="E153" i="3"/>
  <c r="E154" i="3" s="1"/>
  <c r="D153" i="3"/>
  <c r="D154" i="3" s="1"/>
  <c r="K141" i="3"/>
  <c r="K142" i="3" s="1"/>
  <c r="K143" i="3" s="1"/>
  <c r="J141" i="3"/>
  <c r="J142" i="3" s="1"/>
  <c r="J143" i="3" s="1"/>
  <c r="I141" i="3"/>
  <c r="I142" i="3" s="1"/>
  <c r="I143" i="3" s="1"/>
  <c r="H141" i="3"/>
  <c r="H142" i="3" s="1"/>
  <c r="H143" i="3" s="1"/>
  <c r="G141" i="3"/>
  <c r="G142" i="3" s="1"/>
  <c r="G143" i="3" s="1"/>
  <c r="F141" i="3"/>
  <c r="F142" i="3" s="1"/>
  <c r="F143" i="3" s="1"/>
  <c r="E141" i="3"/>
  <c r="E142" i="3" s="1"/>
  <c r="E143" i="3" s="1"/>
  <c r="D141" i="3"/>
  <c r="D142" i="3" s="1"/>
  <c r="D143" i="3" s="1"/>
  <c r="K129" i="3"/>
  <c r="K130" i="3" s="1"/>
  <c r="J129" i="3"/>
  <c r="J130" i="3" s="1"/>
  <c r="I129" i="3"/>
  <c r="I130" i="3" s="1"/>
  <c r="H129" i="3"/>
  <c r="H130" i="3" s="1"/>
  <c r="G129" i="3"/>
  <c r="G130" i="3" s="1"/>
  <c r="F129" i="3"/>
  <c r="F130" i="3" s="1"/>
  <c r="F131" i="3" s="1"/>
  <c r="E129" i="3"/>
  <c r="E130" i="3" s="1"/>
  <c r="D129" i="3"/>
  <c r="D130" i="3" s="1"/>
  <c r="K115" i="3"/>
  <c r="K116" i="3" s="1"/>
  <c r="J115" i="3"/>
  <c r="J116" i="3" s="1"/>
  <c r="I115" i="3"/>
  <c r="I116" i="3" s="1"/>
  <c r="H115" i="3"/>
  <c r="H116" i="3" s="1"/>
  <c r="G115" i="3"/>
  <c r="G116" i="3" s="1"/>
  <c r="F115" i="3"/>
  <c r="F116" i="3" s="1"/>
  <c r="F117" i="3" s="1"/>
  <c r="D115" i="3"/>
  <c r="C114" i="3"/>
  <c r="E115" i="3" s="1"/>
  <c r="E116" i="3" s="1"/>
  <c r="K104" i="3"/>
  <c r="K105" i="3" s="1"/>
  <c r="J104" i="3"/>
  <c r="J105" i="3" s="1"/>
  <c r="I104" i="3"/>
  <c r="I105" i="3" s="1"/>
  <c r="H104" i="3"/>
  <c r="H105" i="3" s="1"/>
  <c r="G104" i="3"/>
  <c r="G105" i="3" s="1"/>
  <c r="F104" i="3"/>
  <c r="F105" i="3" s="1"/>
  <c r="E104" i="3"/>
  <c r="E105" i="3" s="1"/>
  <c r="D104" i="3"/>
  <c r="D105" i="3" s="1"/>
  <c r="K91" i="3"/>
  <c r="K92" i="3" s="1"/>
  <c r="K93" i="3" s="1"/>
  <c r="J91" i="3"/>
  <c r="J92" i="3" s="1"/>
  <c r="J93" i="3" s="1"/>
  <c r="I91" i="3"/>
  <c r="I92" i="3" s="1"/>
  <c r="I93" i="3" s="1"/>
  <c r="H91" i="3"/>
  <c r="H92" i="3" s="1"/>
  <c r="H93" i="3" s="1"/>
  <c r="G91" i="3"/>
  <c r="G92" i="3" s="1"/>
  <c r="G93" i="3" s="1"/>
  <c r="F91" i="3"/>
  <c r="F92" i="3" s="1"/>
  <c r="F93" i="3" s="1"/>
  <c r="F94" i="3" s="1"/>
  <c r="E91" i="3"/>
  <c r="E92" i="3" s="1"/>
  <c r="E93" i="3" s="1"/>
  <c r="D91" i="3"/>
  <c r="D92" i="3" s="1"/>
  <c r="D93" i="3" s="1"/>
  <c r="K82" i="3"/>
  <c r="I82" i="3"/>
  <c r="H82" i="3"/>
  <c r="G82" i="3"/>
  <c r="F82" i="3"/>
  <c r="D81" i="3"/>
  <c r="D82" i="3" s="1"/>
  <c r="D83" i="3" s="1"/>
  <c r="E79" i="3"/>
  <c r="E80" i="3" s="1"/>
  <c r="E81" i="3" s="1"/>
  <c r="E82" i="3" s="1"/>
  <c r="K66" i="3"/>
  <c r="K67" i="3" s="1"/>
  <c r="J66" i="3"/>
  <c r="J67" i="3" s="1"/>
  <c r="I66" i="3"/>
  <c r="I67" i="3" s="1"/>
  <c r="H66" i="3"/>
  <c r="H67" i="3" s="1"/>
  <c r="G66" i="3"/>
  <c r="F66" i="3"/>
  <c r="F67" i="3" s="1"/>
  <c r="F68" i="3" s="1"/>
  <c r="D66" i="3"/>
  <c r="D67" i="3" s="1"/>
  <c r="C64" i="3"/>
  <c r="E65" i="3" s="1"/>
  <c r="E66" i="3" s="1"/>
  <c r="E67" i="3" s="1"/>
  <c r="K51" i="3"/>
  <c r="K52" i="3" s="1"/>
  <c r="K53" i="3" s="1"/>
  <c r="J51" i="3"/>
  <c r="J52" i="3" s="1"/>
  <c r="J53" i="3" s="1"/>
  <c r="I51" i="3"/>
  <c r="I52" i="3" s="1"/>
  <c r="I53" i="3" s="1"/>
  <c r="H51" i="3"/>
  <c r="H52" i="3" s="1"/>
  <c r="H53" i="3" s="1"/>
  <c r="G51" i="3"/>
  <c r="G52" i="3" s="1"/>
  <c r="G53" i="3" s="1"/>
  <c r="F51" i="3"/>
  <c r="F52" i="3" s="1"/>
  <c r="F53" i="3" s="1"/>
  <c r="F54" i="3" s="1"/>
  <c r="E51" i="3"/>
  <c r="E52" i="3" s="1"/>
  <c r="E53" i="3" s="1"/>
  <c r="D51" i="3"/>
  <c r="D52" i="3" s="1"/>
  <c r="D53" i="3" s="1"/>
  <c r="K41" i="3"/>
  <c r="J41" i="3"/>
  <c r="I41" i="3"/>
  <c r="H41" i="3"/>
  <c r="G41" i="3"/>
  <c r="F41" i="3"/>
  <c r="F42" i="3" s="1"/>
  <c r="E41" i="3"/>
  <c r="C40" i="3"/>
  <c r="D41" i="3" s="1"/>
  <c r="C27" i="3"/>
  <c r="E28" i="3" s="1"/>
  <c r="E29" i="3" s="1"/>
  <c r="E30" i="3" s="1"/>
  <c r="E31" i="3" s="1"/>
  <c r="E32" i="3" s="1"/>
  <c r="E33" i="3" s="1"/>
  <c r="K17" i="3"/>
  <c r="J17" i="3"/>
  <c r="I17" i="3"/>
  <c r="H17" i="3"/>
  <c r="F17" i="3"/>
  <c r="E17" i="3"/>
  <c r="D17" i="3"/>
  <c r="D18" i="3" s="1"/>
  <c r="C16" i="3"/>
  <c r="G17" i="3" s="1"/>
  <c r="C2" i="3"/>
  <c r="K27" i="8" l="1"/>
  <c r="G28" i="8" s="1"/>
  <c r="G29" i="8" s="1"/>
  <c r="E27" i="8"/>
  <c r="E28" i="8" s="1"/>
  <c r="E29" i="8" s="1"/>
  <c r="D36" i="5"/>
  <c r="D37" i="5" s="1"/>
  <c r="D38" i="5" s="1"/>
  <c r="E37" i="5"/>
  <c r="E38" i="5" s="1"/>
  <c r="F137" i="5"/>
  <c r="K95" i="5"/>
  <c r="G17" i="5"/>
  <c r="G18" i="5" s="1"/>
  <c r="G19" i="5" s="1"/>
  <c r="G20" i="5" s="1"/>
  <c r="D19" i="5"/>
  <c r="D20" i="5" s="1"/>
  <c r="E20" i="5"/>
  <c r="E69" i="5"/>
  <c r="E53" i="5"/>
  <c r="H53" i="5"/>
  <c r="G136" i="5"/>
  <c r="G137" i="5" s="1"/>
  <c r="I53" i="5"/>
  <c r="F54" i="5" s="1"/>
  <c r="G5" i="5"/>
  <c r="G251" i="5"/>
  <c r="K251" i="5"/>
  <c r="I137" i="5"/>
  <c r="E174" i="5"/>
  <c r="I174" i="5"/>
  <c r="E186" i="5"/>
  <c r="I186" i="5"/>
  <c r="F187" i="5" s="1"/>
  <c r="E237" i="5"/>
  <c r="E238" i="5" s="1"/>
  <c r="H237" i="5"/>
  <c r="H238" i="5" s="1"/>
  <c r="D251" i="5"/>
  <c r="I252" i="5" s="1"/>
  <c r="I253" i="5" s="1"/>
  <c r="H251" i="5"/>
  <c r="D25" i="5"/>
  <c r="D26" i="5" s="1"/>
  <c r="F81" i="5"/>
  <c r="K81" i="5"/>
  <c r="D82" i="5" s="1"/>
  <c r="G81" i="5"/>
  <c r="K137" i="5"/>
  <c r="G26" i="5"/>
  <c r="J27" i="5" s="1"/>
  <c r="D69" i="5"/>
  <c r="D70" i="5" s="1"/>
  <c r="F71" i="5" s="1"/>
  <c r="H81" i="5"/>
  <c r="D137" i="5"/>
  <c r="H137" i="5"/>
  <c r="D174" i="5"/>
  <c r="K224" i="5"/>
  <c r="D50" i="5"/>
  <c r="D51" i="5" s="1"/>
  <c r="D52" i="5" s="1"/>
  <c r="D53" i="5" s="1"/>
  <c r="D109" i="5"/>
  <c r="D110" i="5" s="1"/>
  <c r="G162" i="5"/>
  <c r="G163" i="5" s="1"/>
  <c r="F164" i="5" s="1"/>
  <c r="K162" i="5"/>
  <c r="K163" i="5" s="1"/>
  <c r="K199" i="5"/>
  <c r="F224" i="5"/>
  <c r="E107" i="5"/>
  <c r="E108" i="5" s="1"/>
  <c r="E109" i="5" s="1"/>
  <c r="E110" i="5" s="1"/>
  <c r="E123" i="5"/>
  <c r="I123" i="5"/>
  <c r="E148" i="5"/>
  <c r="E149" i="5" s="1"/>
  <c r="E150" i="5" s="1"/>
  <c r="E162" i="5"/>
  <c r="E163" i="5" s="1"/>
  <c r="H162" i="5"/>
  <c r="H163" i="5" s="1"/>
  <c r="G53" i="5"/>
  <c r="K53" i="5"/>
  <c r="K69" i="5"/>
  <c r="E77" i="5"/>
  <c r="E78" i="5" s="1"/>
  <c r="E79" i="5" s="1"/>
  <c r="E80" i="5" s="1"/>
  <c r="E81" i="5" s="1"/>
  <c r="D94" i="5"/>
  <c r="D95" i="5" s="1"/>
  <c r="K110" i="5"/>
  <c r="I162" i="5"/>
  <c r="I163" i="5" s="1"/>
  <c r="E211" i="5"/>
  <c r="I211" i="5"/>
  <c r="F212" i="5" s="1"/>
  <c r="F213" i="5" s="1"/>
  <c r="G236" i="5"/>
  <c r="G237" i="5" s="1"/>
  <c r="G238" i="5" s="1"/>
  <c r="E34" i="3"/>
  <c r="E35" i="3" s="1"/>
  <c r="D34" i="3"/>
  <c r="D35" i="3" s="1"/>
  <c r="G34" i="3"/>
  <c r="G35" i="3" s="1"/>
  <c r="F210" i="3"/>
  <c r="F106" i="3"/>
  <c r="E196" i="3"/>
  <c r="E197" i="3" s="1"/>
  <c r="E3" i="3"/>
  <c r="E4" i="3" s="1"/>
  <c r="E5" i="3" s="1"/>
  <c r="E6" i="3" s="1"/>
  <c r="E7" i="3" s="1"/>
  <c r="E8" i="3" s="1"/>
  <c r="E9" i="3" s="1"/>
  <c r="E10" i="3" s="1"/>
  <c r="D11" i="3" s="1"/>
  <c r="G4" i="3"/>
  <c r="G5" i="3" s="1"/>
  <c r="G6" i="3" s="1"/>
  <c r="G7" i="3" s="1"/>
  <c r="G8" i="3" s="1"/>
  <c r="G9" i="3" s="1"/>
  <c r="G10" i="3" s="1"/>
  <c r="G179" i="3"/>
  <c r="K167" i="3"/>
  <c r="J18" i="3"/>
  <c r="E83" i="3"/>
  <c r="E94" i="3"/>
  <c r="I94" i="3"/>
  <c r="F95" i="3" s="1"/>
  <c r="E131" i="3"/>
  <c r="I131" i="3"/>
  <c r="F132" i="3" s="1"/>
  <c r="E155" i="3"/>
  <c r="I155" i="3"/>
  <c r="F156" i="3" s="1"/>
  <c r="F157" i="3" s="1"/>
  <c r="I167" i="3"/>
  <c r="I179" i="3"/>
  <c r="E180" i="3" s="1"/>
  <c r="F190" i="3"/>
  <c r="F191" i="3" s="1"/>
  <c r="I190" i="3"/>
  <c r="I191" i="3" s="1"/>
  <c r="H190" i="3"/>
  <c r="H191" i="3" s="1"/>
  <c r="G196" i="3"/>
  <c r="G197" i="3" s="1"/>
  <c r="H83" i="3"/>
  <c r="F179" i="3"/>
  <c r="K179" i="3"/>
  <c r="K190" i="3"/>
  <c r="K191" i="3" s="1"/>
  <c r="H196" i="3"/>
  <c r="H197" i="3" s="1"/>
  <c r="G42" i="3"/>
  <c r="K42" i="3"/>
  <c r="K54" i="3"/>
  <c r="F83" i="3"/>
  <c r="H223" i="3"/>
  <c r="E223" i="3"/>
  <c r="D42" i="3"/>
  <c r="H42" i="3"/>
  <c r="G83" i="3"/>
  <c r="G94" i="3"/>
  <c r="K94" i="3"/>
  <c r="K106" i="3"/>
  <c r="G117" i="3"/>
  <c r="K117" i="3"/>
  <c r="G131" i="3"/>
  <c r="K131" i="3"/>
  <c r="G155" i="3"/>
  <c r="G156" i="3" s="1"/>
  <c r="G157" i="3" s="1"/>
  <c r="K155" i="3"/>
  <c r="D208" i="3"/>
  <c r="D209" i="3" s="1"/>
  <c r="D210" i="3" s="1"/>
  <c r="I223" i="3"/>
  <c r="E18" i="3"/>
  <c r="E42" i="3"/>
  <c r="I42" i="3"/>
  <c r="F43" i="3" s="1"/>
  <c r="D68" i="3"/>
  <c r="I68" i="3"/>
  <c r="D94" i="3"/>
  <c r="H94" i="3"/>
  <c r="D106" i="3"/>
  <c r="H106" i="3"/>
  <c r="D131" i="3"/>
  <c r="H131" i="3"/>
  <c r="J144" i="3"/>
  <c r="D155" i="3"/>
  <c r="D156" i="3" s="1"/>
  <c r="D157" i="3" s="1"/>
  <c r="H155" i="3"/>
  <c r="G167" i="3"/>
  <c r="K196" i="3"/>
  <c r="K197" i="3" s="1"/>
  <c r="F223" i="3"/>
  <c r="G54" i="3"/>
  <c r="E144" i="3"/>
  <c r="I144" i="3"/>
  <c r="E166" i="3"/>
  <c r="E167" i="3" s="1"/>
  <c r="K210" i="3"/>
  <c r="E234" i="3"/>
  <c r="G67" i="3"/>
  <c r="G68" i="3" s="1"/>
  <c r="E117" i="3"/>
  <c r="H117" i="3"/>
  <c r="F144" i="3"/>
  <c r="D189" i="3"/>
  <c r="D190" i="3" s="1"/>
  <c r="D191" i="3" s="1"/>
  <c r="H210" i="3"/>
  <c r="E54" i="3"/>
  <c r="I54" i="3"/>
  <c r="K83" i="3"/>
  <c r="I117" i="3"/>
  <c r="G144" i="3"/>
  <c r="I210" i="3"/>
  <c r="F211" i="3" s="1"/>
  <c r="K6" i="8"/>
  <c r="F6" i="8"/>
  <c r="E6" i="8"/>
  <c r="I6" i="8"/>
  <c r="D6" i="8"/>
  <c r="H6" i="8"/>
  <c r="G4" i="8"/>
  <c r="G5" i="8" s="1"/>
  <c r="G6" i="8" s="1"/>
  <c r="K6" i="5"/>
  <c r="F110" i="5"/>
  <c r="E6" i="5"/>
  <c r="H6" i="5"/>
  <c r="F7" i="5" s="1"/>
  <c r="G6" i="5"/>
  <c r="D6" i="5"/>
  <c r="I6" i="5"/>
  <c r="F95" i="5"/>
  <c r="I110" i="5"/>
  <c r="D123" i="5"/>
  <c r="H123" i="5"/>
  <c r="I150" i="5"/>
  <c r="F151" i="5" s="1"/>
  <c r="I95" i="5"/>
  <c r="H110" i="5"/>
  <c r="K123" i="5"/>
  <c r="F69" i="5"/>
  <c r="G95" i="5"/>
  <c r="G110" i="5"/>
  <c r="G69" i="5"/>
  <c r="E95" i="5"/>
  <c r="H95" i="5"/>
  <c r="F123" i="5"/>
  <c r="J123" i="5"/>
  <c r="F175" i="5"/>
  <c r="E134" i="5"/>
  <c r="E135" i="5" s="1"/>
  <c r="E136" i="5" s="1"/>
  <c r="E137" i="5" s="1"/>
  <c r="G150" i="5"/>
  <c r="K150" i="5"/>
  <c r="D150" i="5"/>
  <c r="D151" i="5" s="1"/>
  <c r="H150" i="5"/>
  <c r="D161" i="5"/>
  <c r="D162" i="5" s="1"/>
  <c r="D163" i="5" s="1"/>
  <c r="G174" i="5"/>
  <c r="K174" i="5"/>
  <c r="K175" i="5" s="1"/>
  <c r="F199" i="5"/>
  <c r="H174" i="5"/>
  <c r="G199" i="5"/>
  <c r="E224" i="5"/>
  <c r="I224" i="5"/>
  <c r="G186" i="5"/>
  <c r="K186" i="5"/>
  <c r="D199" i="5"/>
  <c r="H199" i="5"/>
  <c r="G211" i="5"/>
  <c r="K211" i="5"/>
  <c r="F238" i="5"/>
  <c r="D186" i="5"/>
  <c r="H186" i="5"/>
  <c r="E199" i="5"/>
  <c r="I199" i="5"/>
  <c r="D211" i="5"/>
  <c r="H211" i="5"/>
  <c r="G224" i="5"/>
  <c r="K237" i="5"/>
  <c r="K238" i="5" s="1"/>
  <c r="D224" i="5"/>
  <c r="H224" i="5"/>
  <c r="F23" i="4"/>
  <c r="F24" i="4" s="1"/>
  <c r="F18" i="3"/>
  <c r="K18" i="3"/>
  <c r="K68" i="3"/>
  <c r="G18" i="3"/>
  <c r="H18" i="3"/>
  <c r="D54" i="3"/>
  <c r="H54" i="3"/>
  <c r="E68" i="3"/>
  <c r="H68" i="3"/>
  <c r="F69" i="3" s="1"/>
  <c r="G106" i="3"/>
  <c r="D116" i="3"/>
  <c r="D117" i="3" s="1"/>
  <c r="J223" i="3"/>
  <c r="K144" i="3"/>
  <c r="K223" i="3"/>
  <c r="I234" i="3"/>
  <c r="E106" i="3"/>
  <c r="I106" i="3"/>
  <c r="H144" i="3"/>
  <c r="D167" i="3"/>
  <c r="H167" i="3"/>
  <c r="D178" i="3"/>
  <c r="D179" i="3" s="1"/>
  <c r="H179" i="3"/>
  <c r="G234" i="3"/>
  <c r="K234" i="3"/>
  <c r="G190" i="3"/>
  <c r="G191" i="3" s="1"/>
  <c r="G210" i="3"/>
  <c r="D223" i="3"/>
  <c r="D234" i="3"/>
  <c r="H234" i="3"/>
  <c r="E190" i="3"/>
  <c r="E191" i="3" s="1"/>
  <c r="D195" i="3"/>
  <c r="D196" i="3" s="1"/>
  <c r="D197" i="3" s="1"/>
  <c r="E210" i="3"/>
  <c r="D28" i="8" l="1"/>
  <c r="D29" i="8" s="1"/>
  <c r="G30" i="8" s="1"/>
  <c r="F39" i="5"/>
  <c r="K39" i="5"/>
  <c r="G39" i="5"/>
  <c r="G40" i="5" s="1"/>
  <c r="H39" i="5"/>
  <c r="H40" i="5" s="1"/>
  <c r="I39" i="5"/>
  <c r="D39" i="5"/>
  <c r="G175" i="5"/>
  <c r="H239" i="5"/>
  <c r="K96" i="5"/>
  <c r="F27" i="5"/>
  <c r="D175" i="5"/>
  <c r="H175" i="5"/>
  <c r="I175" i="5"/>
  <c r="K176" i="5" s="1"/>
  <c r="G82" i="5"/>
  <c r="G83" i="5" s="1"/>
  <c r="G84" i="5" s="1"/>
  <c r="G85" i="5" s="1"/>
  <c r="H252" i="5"/>
  <c r="H253" i="5" s="1"/>
  <c r="K54" i="5"/>
  <c r="D54" i="5"/>
  <c r="K138" i="5"/>
  <c r="F138" i="5"/>
  <c r="G54" i="5"/>
  <c r="K252" i="5"/>
  <c r="K253" i="5" s="1"/>
  <c r="K212" i="5"/>
  <c r="K213" i="5" s="1"/>
  <c r="I27" i="5"/>
  <c r="E82" i="5"/>
  <c r="E83" i="5" s="1"/>
  <c r="E84" i="5" s="1"/>
  <c r="E85" i="5" s="1"/>
  <c r="H27" i="5"/>
  <c r="D138" i="5"/>
  <c r="H54" i="5"/>
  <c r="F55" i="5" s="1"/>
  <c r="E252" i="5"/>
  <c r="E253" i="5" s="1"/>
  <c r="F176" i="5"/>
  <c r="G252" i="5"/>
  <c r="G253" i="5" s="1"/>
  <c r="I254" i="5" s="1"/>
  <c r="D27" i="5"/>
  <c r="E27" i="5"/>
  <c r="E54" i="5"/>
  <c r="K187" i="5"/>
  <c r="G71" i="5"/>
  <c r="G72" i="5" s="1"/>
  <c r="F252" i="5"/>
  <c r="F253" i="5" s="1"/>
  <c r="H187" i="5"/>
  <c r="G187" i="5"/>
  <c r="K71" i="5"/>
  <c r="K72" i="5" s="1"/>
  <c r="F82" i="5"/>
  <c r="F83" i="5" s="1"/>
  <c r="F84" i="5" s="1"/>
  <c r="F85" i="5" s="1"/>
  <c r="E187" i="5"/>
  <c r="F188" i="5" s="1"/>
  <c r="D187" i="5"/>
  <c r="G111" i="5"/>
  <c r="H111" i="5"/>
  <c r="K27" i="5"/>
  <c r="E71" i="5"/>
  <c r="E72" i="5" s="1"/>
  <c r="D96" i="5"/>
  <c r="H164" i="5"/>
  <c r="E124" i="5"/>
  <c r="H82" i="5"/>
  <c r="H83" i="5" s="1"/>
  <c r="H84" i="5" s="1"/>
  <c r="H85" i="5" s="1"/>
  <c r="I138" i="5"/>
  <c r="K200" i="5"/>
  <c r="E138" i="5"/>
  <c r="H138" i="5"/>
  <c r="G7" i="5"/>
  <c r="I124" i="5"/>
  <c r="H212" i="5"/>
  <c r="H213" i="5" s="1"/>
  <c r="G212" i="5"/>
  <c r="G213" i="5" s="1"/>
  <c r="H96" i="5"/>
  <c r="K111" i="5"/>
  <c r="I7" i="5"/>
  <c r="E212" i="5"/>
  <c r="E213" i="5" s="1"/>
  <c r="E164" i="5"/>
  <c r="D212" i="5"/>
  <c r="D213" i="5" s="1"/>
  <c r="F214" i="5" s="1"/>
  <c r="F225" i="5"/>
  <c r="D164" i="5"/>
  <c r="E96" i="5"/>
  <c r="D7" i="5"/>
  <c r="K164" i="5"/>
  <c r="G36" i="3"/>
  <c r="G37" i="3" s="1"/>
  <c r="G38" i="3" s="1"/>
  <c r="E36" i="3"/>
  <c r="D168" i="3"/>
  <c r="E145" i="3"/>
  <c r="G11" i="3"/>
  <c r="H168" i="3"/>
  <c r="E198" i="3"/>
  <c r="E156" i="3"/>
  <c r="E157" i="3" s="1"/>
  <c r="E158" i="3" s="1"/>
  <c r="G145" i="3"/>
  <c r="H95" i="3"/>
  <c r="K95" i="3"/>
  <c r="F96" i="3" s="1"/>
  <c r="H156" i="3"/>
  <c r="H157" i="3" s="1"/>
  <c r="D95" i="3"/>
  <c r="K156" i="3"/>
  <c r="K157" i="3" s="1"/>
  <c r="K158" i="3" s="1"/>
  <c r="G95" i="3"/>
  <c r="G96" i="3" s="1"/>
  <c r="K168" i="3"/>
  <c r="D12" i="3"/>
  <c r="D13" i="3" s="1"/>
  <c r="H145" i="3"/>
  <c r="D132" i="3"/>
  <c r="E43" i="3"/>
  <c r="K180" i="3"/>
  <c r="E181" i="3" s="1"/>
  <c r="F180" i="3"/>
  <c r="H180" i="3"/>
  <c r="E84" i="3"/>
  <c r="E168" i="3"/>
  <c r="K132" i="3"/>
  <c r="E132" i="3"/>
  <c r="D180" i="3"/>
  <c r="J19" i="3"/>
  <c r="F168" i="3"/>
  <c r="F169" i="3" s="1"/>
  <c r="G168" i="3"/>
  <c r="H132" i="3"/>
  <c r="G132" i="3"/>
  <c r="E95" i="3"/>
  <c r="G180" i="3"/>
  <c r="E211" i="3"/>
  <c r="K145" i="3"/>
  <c r="F145" i="3"/>
  <c r="K107" i="3"/>
  <c r="K108" i="3" s="1"/>
  <c r="H224" i="3"/>
  <c r="D55" i="3"/>
  <c r="G118" i="3"/>
  <c r="I145" i="3"/>
  <c r="H158" i="3"/>
  <c r="F118" i="3"/>
  <c r="D43" i="3"/>
  <c r="K55" i="3"/>
  <c r="G69" i="3"/>
  <c r="F158" i="3"/>
  <c r="K43" i="3"/>
  <c r="E55" i="3"/>
  <c r="G158" i="3"/>
  <c r="G211" i="3"/>
  <c r="E69" i="3"/>
  <c r="G43" i="3"/>
  <c r="H43" i="3"/>
  <c r="F44" i="3" s="1"/>
  <c r="E235" i="3"/>
  <c r="H55" i="3"/>
  <c r="F55" i="3"/>
  <c r="D235" i="3"/>
  <c r="K235" i="3"/>
  <c r="E236" i="3" s="1"/>
  <c r="G198" i="3"/>
  <c r="K198" i="3"/>
  <c r="F198" i="3"/>
  <c r="H84" i="3"/>
  <c r="G84" i="3"/>
  <c r="D198" i="3"/>
  <c r="G235" i="3"/>
  <c r="G236" i="3" s="1"/>
  <c r="K118" i="3"/>
  <c r="G19" i="3"/>
  <c r="F84" i="3"/>
  <c r="H211" i="3"/>
  <c r="H118" i="3"/>
  <c r="D84" i="3"/>
  <c r="F235" i="3"/>
  <c r="I235" i="3"/>
  <c r="D118" i="3"/>
  <c r="D211" i="3"/>
  <c r="E118" i="3"/>
  <c r="K211" i="3"/>
  <c r="G55" i="3"/>
  <c r="D7" i="8"/>
  <c r="K7" i="8"/>
  <c r="E30" i="8"/>
  <c r="G31" i="8" s="1"/>
  <c r="G32" i="8" s="1"/>
  <c r="G7" i="8"/>
  <c r="I7" i="8"/>
  <c r="E7" i="8"/>
  <c r="F7" i="8"/>
  <c r="E239" i="5"/>
  <c r="K225" i="5"/>
  <c r="E111" i="5"/>
  <c r="D111" i="5"/>
  <c r="H225" i="5"/>
  <c r="G239" i="5"/>
  <c r="I200" i="5"/>
  <c r="F239" i="5"/>
  <c r="F240" i="5" s="1"/>
  <c r="F241" i="5" s="1"/>
  <c r="D200" i="5"/>
  <c r="E225" i="5"/>
  <c r="D239" i="5"/>
  <c r="K151" i="5"/>
  <c r="F152" i="5" s="1"/>
  <c r="G96" i="5"/>
  <c r="E151" i="5"/>
  <c r="H124" i="5"/>
  <c r="F96" i="5"/>
  <c r="E7" i="5"/>
  <c r="F111" i="5"/>
  <c r="K7" i="5"/>
  <c r="D225" i="5"/>
  <c r="G225" i="5"/>
  <c r="E200" i="5"/>
  <c r="G200" i="5"/>
  <c r="F200" i="5"/>
  <c r="H151" i="5"/>
  <c r="G151" i="5"/>
  <c r="F124" i="5"/>
  <c r="K124" i="5"/>
  <c r="D124" i="5"/>
  <c r="B24" i="4"/>
  <c r="E24" i="4"/>
  <c r="D24" i="4"/>
  <c r="C24" i="4"/>
  <c r="I224" i="3"/>
  <c r="E224" i="3"/>
  <c r="E107" i="3"/>
  <c r="E108" i="3" s="1"/>
  <c r="K224" i="3"/>
  <c r="F224" i="3"/>
  <c r="K69" i="3"/>
  <c r="D69" i="3"/>
  <c r="I69" i="3"/>
  <c r="F70" i="3" s="1"/>
  <c r="H107" i="3"/>
  <c r="H108" i="3" s="1"/>
  <c r="E19" i="3"/>
  <c r="F107" i="3"/>
  <c r="F108" i="3" s="1"/>
  <c r="D107" i="3"/>
  <c r="D108" i="3" s="1"/>
  <c r="D224" i="3"/>
  <c r="G107" i="3"/>
  <c r="G108" i="3" s="1"/>
  <c r="H19" i="3"/>
  <c r="D19" i="3"/>
  <c r="F19" i="3"/>
  <c r="G8" i="8" l="1"/>
  <c r="E8" i="8"/>
  <c r="D240" i="5"/>
  <c r="D241" i="5" s="1"/>
  <c r="G41" i="5"/>
  <c r="G240" i="5"/>
  <c r="G241" i="5" s="1"/>
  <c r="D40" i="5"/>
  <c r="D41" i="5" s="1"/>
  <c r="K40" i="5"/>
  <c r="K41" i="5" s="1"/>
  <c r="E240" i="5"/>
  <c r="E241" i="5" s="1"/>
  <c r="F40" i="5"/>
  <c r="F41" i="5" s="1"/>
  <c r="F42" i="5" s="1"/>
  <c r="D176" i="5"/>
  <c r="H176" i="5"/>
  <c r="H177" i="5" s="1"/>
  <c r="E97" i="5"/>
  <c r="H97" i="5"/>
  <c r="G97" i="5"/>
  <c r="G176" i="5"/>
  <c r="G177" i="5" s="1"/>
  <c r="D226" i="5"/>
  <c r="F97" i="5"/>
  <c r="F98" i="5" s="1"/>
  <c r="F99" i="5" s="1"/>
  <c r="D97" i="5"/>
  <c r="F28" i="5"/>
  <c r="K139" i="5"/>
  <c r="G152" i="5"/>
  <c r="E28" i="5"/>
  <c r="J28" i="5"/>
  <c r="F29" i="5" s="1"/>
  <c r="H254" i="5"/>
  <c r="I255" i="5" s="1"/>
  <c r="K28" i="5"/>
  <c r="I28" i="5"/>
  <c r="K125" i="5"/>
  <c r="H28" i="5"/>
  <c r="E55" i="5"/>
  <c r="E152" i="5"/>
  <c r="F254" i="5"/>
  <c r="F255" i="5" s="1"/>
  <c r="E254" i="5"/>
  <c r="E255" i="5" s="1"/>
  <c r="I139" i="5"/>
  <c r="D112" i="5"/>
  <c r="H139" i="5"/>
  <c r="D188" i="5"/>
  <c r="K201" i="5"/>
  <c r="F139" i="5"/>
  <c r="F226" i="5"/>
  <c r="G112" i="5"/>
  <c r="E139" i="5"/>
  <c r="E125" i="5"/>
  <c r="K254" i="5"/>
  <c r="K255" i="5" s="1"/>
  <c r="K55" i="5"/>
  <c r="F56" i="5" s="1"/>
  <c r="E165" i="5"/>
  <c r="D55" i="5"/>
  <c r="G55" i="5"/>
  <c r="H112" i="5"/>
  <c r="G188" i="5"/>
  <c r="K188" i="5"/>
  <c r="G73" i="5"/>
  <c r="E73" i="5"/>
  <c r="I8" i="5"/>
  <c r="K177" i="5"/>
  <c r="H178" i="5" s="1"/>
  <c r="H188" i="5"/>
  <c r="G201" i="5"/>
  <c r="F8" i="5"/>
  <c r="F9" i="5" s="1"/>
  <c r="F10" i="5" s="1"/>
  <c r="E214" i="5"/>
  <c r="D125" i="5"/>
  <c r="F125" i="5"/>
  <c r="H152" i="5"/>
  <c r="F153" i="5" s="1"/>
  <c r="F154" i="5" s="1"/>
  <c r="G226" i="5"/>
  <c r="E8" i="5"/>
  <c r="H125" i="5"/>
  <c r="H86" i="5"/>
  <c r="H165" i="5"/>
  <c r="E166" i="5" s="1"/>
  <c r="E167" i="5" s="1"/>
  <c r="K214" i="5"/>
  <c r="D8" i="5"/>
  <c r="E112" i="5"/>
  <c r="F86" i="5"/>
  <c r="F165" i="5"/>
  <c r="F166" i="5" s="1"/>
  <c r="F167" i="5" s="1"/>
  <c r="D242" i="5"/>
  <c r="G86" i="5"/>
  <c r="G214" i="5"/>
  <c r="F112" i="5"/>
  <c r="H214" i="5"/>
  <c r="F215" i="5" s="1"/>
  <c r="E146" i="3"/>
  <c r="E96" i="3"/>
  <c r="H146" i="3"/>
  <c r="D169" i="3"/>
  <c r="D170" i="3" s="1"/>
  <c r="G146" i="3"/>
  <c r="E169" i="3"/>
  <c r="K169" i="3"/>
  <c r="F170" i="3" s="1"/>
  <c r="E170" i="3"/>
  <c r="H96" i="3"/>
  <c r="E97" i="3" s="1"/>
  <c r="E199" i="3"/>
  <c r="D96" i="3"/>
  <c r="G169" i="3"/>
  <c r="G170" i="3" s="1"/>
  <c r="E20" i="3"/>
  <c r="G181" i="3"/>
  <c r="H181" i="3"/>
  <c r="E182" i="3" s="1"/>
  <c r="F20" i="3"/>
  <c r="D20" i="3"/>
  <c r="E85" i="3"/>
  <c r="G20" i="3"/>
  <c r="H20" i="3"/>
  <c r="K109" i="3"/>
  <c r="D133" i="3"/>
  <c r="D181" i="3"/>
  <c r="H225" i="3"/>
  <c r="G212" i="3"/>
  <c r="F133" i="3"/>
  <c r="K212" i="3"/>
  <c r="H212" i="3"/>
  <c r="D44" i="3"/>
  <c r="F45" i="3" s="1"/>
  <c r="G133" i="3"/>
  <c r="F146" i="3"/>
  <c r="K133" i="3"/>
  <c r="F181" i="3"/>
  <c r="F159" i="3"/>
  <c r="K146" i="3"/>
  <c r="G147" i="3" s="1"/>
  <c r="E44" i="3"/>
  <c r="I236" i="3"/>
  <c r="E237" i="3" s="1"/>
  <c r="E238" i="3" s="1"/>
  <c r="K56" i="3"/>
  <c r="E159" i="3"/>
  <c r="E133" i="3"/>
  <c r="G119" i="3"/>
  <c r="G199" i="3"/>
  <c r="F199" i="3"/>
  <c r="H85" i="3"/>
  <c r="H159" i="3"/>
  <c r="D212" i="3"/>
  <c r="G56" i="3"/>
  <c r="D119" i="3"/>
  <c r="D199" i="3"/>
  <c r="E70" i="3"/>
  <c r="E71" i="3" s="1"/>
  <c r="F225" i="3"/>
  <c r="E225" i="3"/>
  <c r="G159" i="3"/>
  <c r="G70" i="3"/>
  <c r="G71" i="3" s="1"/>
  <c r="F147" i="3"/>
  <c r="F212" i="3"/>
  <c r="K70" i="3"/>
  <c r="K71" i="3" s="1"/>
  <c r="G85" i="3"/>
  <c r="D56" i="3"/>
  <c r="F56" i="3"/>
  <c r="K119" i="3"/>
  <c r="E119" i="3"/>
  <c r="E56" i="3"/>
  <c r="F236" i="3"/>
  <c r="G44" i="3"/>
  <c r="F85" i="3"/>
  <c r="K225" i="3"/>
  <c r="D225" i="3"/>
  <c r="G109" i="3"/>
  <c r="E147" i="3"/>
  <c r="F119" i="3"/>
  <c r="D236" i="3"/>
  <c r="I8" i="8"/>
  <c r="D8" i="8"/>
  <c r="F8" i="8"/>
  <c r="E226" i="5"/>
  <c r="G242" i="5"/>
  <c r="G8" i="5"/>
  <c r="D152" i="5"/>
  <c r="E201" i="5"/>
  <c r="D201" i="5"/>
  <c r="F201" i="5"/>
  <c r="F242" i="5"/>
  <c r="K226" i="5"/>
  <c r="F109" i="3"/>
  <c r="E109" i="3"/>
  <c r="H109" i="3"/>
  <c r="D70" i="3"/>
  <c r="D71" i="3" s="1"/>
  <c r="C23" i="2"/>
  <c r="D23" i="2"/>
  <c r="E23" i="2"/>
  <c r="B23" i="2"/>
  <c r="D9" i="8" l="1"/>
  <c r="F9" i="8"/>
  <c r="G9" i="8"/>
  <c r="D42" i="5"/>
  <c r="D43" i="5" s="1"/>
  <c r="D44" i="5" s="1"/>
  <c r="D9" i="5"/>
  <c r="D10" i="5" s="1"/>
  <c r="F11" i="5" s="1"/>
  <c r="G42" i="5"/>
  <c r="F43" i="5" s="1"/>
  <c r="F44" i="5" s="1"/>
  <c r="D98" i="5"/>
  <c r="D99" i="5" s="1"/>
  <c r="E9" i="5"/>
  <c r="E10" i="5" s="1"/>
  <c r="E11" i="5" s="1"/>
  <c r="E98" i="5"/>
  <c r="E99" i="5" s="1"/>
  <c r="D227" i="5"/>
  <c r="D228" i="5" s="1"/>
  <c r="F177" i="5"/>
  <c r="G98" i="5"/>
  <c r="G99" i="5" s="1"/>
  <c r="F100" i="5" s="1"/>
  <c r="F140" i="5"/>
  <c r="K202" i="5"/>
  <c r="G9" i="5"/>
  <c r="G10" i="5" s="1"/>
  <c r="G11" i="5" s="1"/>
  <c r="H140" i="5"/>
  <c r="H126" i="5"/>
  <c r="F126" i="5"/>
  <c r="H189" i="5"/>
  <c r="E140" i="5"/>
  <c r="E141" i="5" s="1"/>
  <c r="E29" i="5"/>
  <c r="K29" i="5"/>
  <c r="H29" i="5"/>
  <c r="F30" i="5" s="1"/>
  <c r="I29" i="5"/>
  <c r="K140" i="5"/>
  <c r="D189" i="5"/>
  <c r="K126" i="5"/>
  <c r="G113" i="5"/>
  <c r="G56" i="5"/>
  <c r="G57" i="5" s="1"/>
  <c r="D56" i="5"/>
  <c r="D57" i="5" s="1"/>
  <c r="D113" i="5"/>
  <c r="E56" i="5"/>
  <c r="E57" i="5" s="1"/>
  <c r="D126" i="5"/>
  <c r="F113" i="5"/>
  <c r="H87" i="5"/>
  <c r="H88" i="5" s="1"/>
  <c r="E113" i="5"/>
  <c r="G178" i="5"/>
  <c r="G179" i="5" s="1"/>
  <c r="G180" i="5" s="1"/>
  <c r="D100" i="5"/>
  <c r="G189" i="5"/>
  <c r="F189" i="5"/>
  <c r="F256" i="5"/>
  <c r="F178" i="5"/>
  <c r="F179" i="5" s="1"/>
  <c r="F180" i="5" s="1"/>
  <c r="E153" i="5"/>
  <c r="E154" i="5" s="1"/>
  <c r="E155" i="5" s="1"/>
  <c r="E156" i="5" s="1"/>
  <c r="D153" i="5"/>
  <c r="I256" i="5"/>
  <c r="E256" i="5"/>
  <c r="K215" i="5"/>
  <c r="G153" i="5"/>
  <c r="G154" i="5" s="1"/>
  <c r="G155" i="5" s="1"/>
  <c r="G156" i="5" s="1"/>
  <c r="D243" i="5"/>
  <c r="G202" i="5"/>
  <c r="G215" i="5"/>
  <c r="E215" i="5"/>
  <c r="F216" i="5" s="1"/>
  <c r="F87" i="5"/>
  <c r="F88" i="5" s="1"/>
  <c r="F227" i="5"/>
  <c r="F228" i="5" s="1"/>
  <c r="H226" i="3"/>
  <c r="H147" i="3"/>
  <c r="G148" i="3" s="1"/>
  <c r="D134" i="3"/>
  <c r="E171" i="3"/>
  <c r="E172" i="3" s="1"/>
  <c r="E173" i="3" s="1"/>
  <c r="E174" i="3" s="1"/>
  <c r="G213" i="3"/>
  <c r="F21" i="3"/>
  <c r="G21" i="3"/>
  <c r="F182" i="3"/>
  <c r="E86" i="3"/>
  <c r="E45" i="3"/>
  <c r="D21" i="3"/>
  <c r="G97" i="3"/>
  <c r="G98" i="3" s="1"/>
  <c r="G99" i="3" s="1"/>
  <c r="D171" i="3"/>
  <c r="E200" i="3"/>
  <c r="E201" i="3" s="1"/>
  <c r="K213" i="3"/>
  <c r="G171" i="3"/>
  <c r="F97" i="3"/>
  <c r="F98" i="3" s="1"/>
  <c r="F99" i="3" s="1"/>
  <c r="E21" i="3"/>
  <c r="D97" i="3"/>
  <c r="D213" i="3"/>
  <c r="D214" i="3" s="1"/>
  <c r="D182" i="3"/>
  <c r="E160" i="3"/>
  <c r="D98" i="3"/>
  <c r="D99" i="3" s="1"/>
  <c r="G182" i="3"/>
  <c r="G110" i="3"/>
  <c r="E57" i="3"/>
  <c r="E58" i="3" s="1"/>
  <c r="E134" i="3"/>
  <c r="F57" i="3"/>
  <c r="F58" i="3" s="1"/>
  <c r="E110" i="3"/>
  <c r="G57" i="3"/>
  <c r="G58" i="3" s="1"/>
  <c r="G120" i="3"/>
  <c r="H110" i="3"/>
  <c r="F110" i="3"/>
  <c r="F213" i="3"/>
  <c r="G160" i="3"/>
  <c r="F160" i="3"/>
  <c r="G134" i="3"/>
  <c r="E183" i="3"/>
  <c r="E184" i="3" s="1"/>
  <c r="F86" i="3"/>
  <c r="F87" i="3" s="1"/>
  <c r="F134" i="3"/>
  <c r="D135" i="3" s="1"/>
  <c r="D136" i="3" s="1"/>
  <c r="G45" i="3"/>
  <c r="F46" i="3" s="1"/>
  <c r="F47" i="3" s="1"/>
  <c r="F48" i="3" s="1"/>
  <c r="G86" i="3"/>
  <c r="G237" i="3"/>
  <c r="G238" i="3" s="1"/>
  <c r="D57" i="3"/>
  <c r="D58" i="3" s="1"/>
  <c r="F148" i="3"/>
  <c r="D237" i="3"/>
  <c r="D238" i="3" s="1"/>
  <c r="F237" i="3"/>
  <c r="F238" i="3" s="1"/>
  <c r="D200" i="3"/>
  <c r="D201" i="3" s="1"/>
  <c r="G200" i="3"/>
  <c r="G201" i="3" s="1"/>
  <c r="D72" i="3"/>
  <c r="E72" i="3"/>
  <c r="D226" i="3"/>
  <c r="D227" i="3" s="1"/>
  <c r="F226" i="3"/>
  <c r="F227" i="3" s="1"/>
  <c r="E148" i="3"/>
  <c r="E226" i="3"/>
  <c r="E227" i="3" s="1"/>
  <c r="E120" i="3"/>
  <c r="D120" i="3"/>
  <c r="K120" i="3"/>
  <c r="E9" i="8"/>
  <c r="D10" i="8"/>
  <c r="G227" i="5"/>
  <c r="G228" i="5" s="1"/>
  <c r="E202" i="5"/>
  <c r="G243" i="5"/>
  <c r="D202" i="5"/>
  <c r="E227" i="5"/>
  <c r="E228" i="5" s="1"/>
  <c r="E229" i="5" s="1"/>
  <c r="K7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" i="2"/>
  <c r="G10" i="8" l="1"/>
  <c r="E10" i="8"/>
  <c r="D11" i="8" s="1"/>
  <c r="F45" i="5"/>
  <c r="F46" i="5" s="1"/>
  <c r="G229" i="5"/>
  <c r="G230" i="5" s="1"/>
  <c r="G231" i="5" s="1"/>
  <c r="F229" i="5"/>
  <c r="E100" i="5"/>
  <c r="E203" i="5"/>
  <c r="E204" i="5" s="1"/>
  <c r="E205" i="5" s="1"/>
  <c r="G203" i="5"/>
  <c r="D127" i="5"/>
  <c r="E30" i="5"/>
  <c r="I30" i="5"/>
  <c r="F31" i="5" s="1"/>
  <c r="D203" i="5"/>
  <c r="G114" i="5"/>
  <c r="F141" i="5"/>
  <c r="K127" i="5"/>
  <c r="D190" i="5"/>
  <c r="G190" i="5"/>
  <c r="K141" i="5"/>
  <c r="F142" i="5" s="1"/>
  <c r="F190" i="5"/>
  <c r="E257" i="5"/>
  <c r="E258" i="5" s="1"/>
  <c r="E114" i="5"/>
  <c r="K30" i="5"/>
  <c r="H127" i="5"/>
  <c r="E58" i="5"/>
  <c r="E59" i="5" s="1"/>
  <c r="E60" i="5" s="1"/>
  <c r="G12" i="5"/>
  <c r="G13" i="5" s="1"/>
  <c r="F114" i="5"/>
  <c r="E101" i="5"/>
  <c r="E102" i="5" s="1"/>
  <c r="E103" i="5" s="1"/>
  <c r="G58" i="5"/>
  <c r="G59" i="5" s="1"/>
  <c r="G60" i="5" s="1"/>
  <c r="E12" i="5"/>
  <c r="E13" i="5" s="1"/>
  <c r="F257" i="5"/>
  <c r="F258" i="5" s="1"/>
  <c r="D101" i="5"/>
  <c r="D102" i="5" s="1"/>
  <c r="D103" i="5" s="1"/>
  <c r="D204" i="5"/>
  <c r="D205" i="5" s="1"/>
  <c r="G216" i="5"/>
  <c r="E230" i="5"/>
  <c r="E231" i="5" s="1"/>
  <c r="D244" i="5"/>
  <c r="D245" i="5" s="1"/>
  <c r="K216" i="5"/>
  <c r="F217" i="5" s="1"/>
  <c r="F218" i="5" s="1"/>
  <c r="D183" i="3"/>
  <c r="D184" i="3" s="1"/>
  <c r="D172" i="3"/>
  <c r="D173" i="3" s="1"/>
  <c r="D174" i="3" s="1"/>
  <c r="F111" i="3"/>
  <c r="F112" i="3" s="1"/>
  <c r="G87" i="3"/>
  <c r="G88" i="3" s="1"/>
  <c r="F88" i="3" s="1"/>
  <c r="G202" i="3"/>
  <c r="G203" i="3" s="1"/>
  <c r="E22" i="3"/>
  <c r="E23" i="3" s="1"/>
  <c r="E24" i="3" s="1"/>
  <c r="G214" i="3"/>
  <c r="D22" i="3"/>
  <c r="G22" i="3"/>
  <c r="E59" i="3"/>
  <c r="E111" i="3"/>
  <c r="E112" i="3" s="1"/>
  <c r="G111" i="3"/>
  <c r="G112" i="3" s="1"/>
  <c r="D202" i="3"/>
  <c r="D203" i="3" s="1"/>
  <c r="G183" i="3"/>
  <c r="G184" i="3" s="1"/>
  <c r="F100" i="3"/>
  <c r="E161" i="3"/>
  <c r="E162" i="3" s="1"/>
  <c r="F214" i="3"/>
  <c r="G215" i="3" s="1"/>
  <c r="G216" i="3" s="1"/>
  <c r="D100" i="3"/>
  <c r="D101" i="3" s="1"/>
  <c r="G59" i="3"/>
  <c r="G161" i="3"/>
  <c r="G162" i="3" s="1"/>
  <c r="G121" i="3"/>
  <c r="G122" i="3" s="1"/>
  <c r="G123" i="3" s="1"/>
  <c r="E46" i="3"/>
  <c r="E47" i="3" s="1"/>
  <c r="E48" i="3" s="1"/>
  <c r="G149" i="3"/>
  <c r="G150" i="3" s="1"/>
  <c r="G239" i="3"/>
  <c r="E239" i="3"/>
  <c r="E135" i="3"/>
  <c r="E136" i="3" s="1"/>
  <c r="F239" i="3"/>
  <c r="G135" i="3"/>
  <c r="G136" i="3" s="1"/>
  <c r="D137" i="3" s="1"/>
  <c r="E149" i="3"/>
  <c r="E150" i="3" s="1"/>
  <c r="F59" i="3"/>
  <c r="E228" i="3"/>
  <c r="E229" i="3" s="1"/>
  <c r="D73" i="3"/>
  <c r="E121" i="3"/>
  <c r="E122" i="3" s="1"/>
  <c r="E123" i="3" s="1"/>
  <c r="E73" i="3"/>
  <c r="D121" i="3"/>
  <c r="D122" i="3" s="1"/>
  <c r="D123" i="3" s="1"/>
  <c r="D228" i="3"/>
  <c r="D229" i="3" s="1"/>
  <c r="D23" i="3"/>
  <c r="D24" i="3" s="1"/>
  <c r="D25" i="3" s="1"/>
  <c r="F23" i="2"/>
  <c r="G11" i="8" l="1"/>
  <c r="D12" i="8"/>
  <c r="D13" i="8" s="1"/>
  <c r="K31" i="5"/>
  <c r="K32" i="5" s="1"/>
  <c r="K33" i="5" s="1"/>
  <c r="K128" i="5"/>
  <c r="E31" i="5"/>
  <c r="E32" i="5" s="1"/>
  <c r="E33" i="5" s="1"/>
  <c r="D191" i="5"/>
  <c r="E142" i="5"/>
  <c r="E143" i="5" s="1"/>
  <c r="E144" i="5" s="1"/>
  <c r="E115" i="5"/>
  <c r="E116" i="5" s="1"/>
  <c r="G191" i="5"/>
  <c r="D128" i="5"/>
  <c r="G115" i="5"/>
  <c r="G116" i="5" s="1"/>
  <c r="G217" i="5"/>
  <c r="G218" i="5" s="1"/>
  <c r="D215" i="3"/>
  <c r="D216" i="3" s="1"/>
  <c r="G60" i="3"/>
  <c r="G61" i="3" s="1"/>
  <c r="E137" i="3"/>
  <c r="D138" i="3" s="1"/>
  <c r="D74" i="3"/>
  <c r="D75" i="3" s="1"/>
  <c r="G240" i="3"/>
  <c r="G241" i="3" s="1"/>
  <c r="E60" i="3"/>
  <c r="E61" i="3" s="1"/>
  <c r="E240" i="3"/>
  <c r="E241" i="3" s="1"/>
  <c r="C24" i="2"/>
  <c r="D24" i="2"/>
  <c r="E24" i="2"/>
  <c r="F24" i="2"/>
  <c r="B24" i="2"/>
  <c r="D129" i="5" l="1"/>
  <c r="D130" i="5" s="1"/>
</calcChain>
</file>

<file path=xl/sharedStrings.xml><?xml version="1.0" encoding="utf-8"?>
<sst xmlns="http://schemas.openxmlformats.org/spreadsheetml/2006/main" count="963" uniqueCount="124">
  <si>
    <t xml:space="preserve">STV Constituency </t>
  </si>
  <si>
    <t>80 Seats</t>
  </si>
  <si>
    <t>90 Seats</t>
  </si>
  <si>
    <t>100 Seats</t>
  </si>
  <si>
    <t>Aberavon and Neath</t>
  </si>
  <si>
    <t>Arfon and Ynys Mon</t>
  </si>
  <si>
    <t>Blaenau Gwent and Islwyn</t>
  </si>
  <si>
    <t>Brecon and Radnorshire and Montgomeryshire</t>
  </si>
  <si>
    <t>Bridgend and Vale of Glamorgan</t>
  </si>
  <si>
    <t>Caerphilly and Merthyr Tydfil and Rhymney</t>
  </si>
  <si>
    <t>Cardiff Central and Cardiff South and Penarth</t>
  </si>
  <si>
    <t>Cardiff North and Cardiff West</t>
  </si>
  <si>
    <t>Carmarthen East and Dinefwr and Ceredigion</t>
  </si>
  <si>
    <t>Carmarthen West and South Pembrokeshire and Preseli Pembrokeshire</t>
  </si>
  <si>
    <t>Clwyd South and Wrexham</t>
  </si>
  <si>
    <t>Clwyd West and Vale of Clwyd</t>
  </si>
  <si>
    <t>Cynon Valley and Pontypridd</t>
  </si>
  <si>
    <t>Delyn and Alyn and Deeside</t>
  </si>
  <si>
    <t>Dwyfor Meirionnydd and Aberconwy</t>
  </si>
  <si>
    <t>Gower and Llanelli</t>
  </si>
  <si>
    <t>Monmouth and Torfaen</t>
  </si>
  <si>
    <t>Newport East and Newport West</t>
  </si>
  <si>
    <t>Ogmore and Rhondda</t>
  </si>
  <si>
    <t>Swansea East and Swansea West</t>
  </si>
  <si>
    <t>Total seats</t>
  </si>
  <si>
    <t>Con</t>
  </si>
  <si>
    <t>Lab</t>
  </si>
  <si>
    <t>LD</t>
  </si>
  <si>
    <t xml:space="preserve">Plaid Cymru </t>
  </si>
  <si>
    <t xml:space="preserve">Green </t>
  </si>
  <si>
    <t>Total</t>
  </si>
  <si>
    <t>Percentage</t>
  </si>
  <si>
    <t>Total seats in current Senedd</t>
  </si>
  <si>
    <t>Proportion of seats in current Senedd</t>
  </si>
  <si>
    <t>STV Const</t>
  </si>
  <si>
    <t>seats</t>
  </si>
  <si>
    <t>Quotient</t>
  </si>
  <si>
    <t>Reform UK</t>
  </si>
  <si>
    <t>UKIP</t>
  </si>
  <si>
    <t>AWAP</t>
  </si>
  <si>
    <t>Gwlad</t>
  </si>
  <si>
    <t>Propel</t>
  </si>
  <si>
    <t>Communist</t>
  </si>
  <si>
    <t>Freedom Alliance</t>
  </si>
  <si>
    <t>TUSC</t>
  </si>
  <si>
    <t>Ind</t>
  </si>
  <si>
    <t>Others</t>
  </si>
  <si>
    <t>Completed</t>
  </si>
  <si>
    <t>New calcs</t>
  </si>
  <si>
    <t>Plaid</t>
  </si>
  <si>
    <t>plus Reform</t>
  </si>
  <si>
    <t>plus AWAP</t>
  </si>
  <si>
    <t>plus UKIP</t>
  </si>
  <si>
    <t>plus greens</t>
  </si>
  <si>
    <t>plus LD</t>
  </si>
  <si>
    <t>plus Plaid</t>
  </si>
  <si>
    <t>Cons</t>
  </si>
  <si>
    <t>Same as 90 seats</t>
  </si>
  <si>
    <t>M&amp;W Wales</t>
  </si>
  <si>
    <t>New calcs done</t>
  </si>
  <si>
    <t>plus Greens</t>
  </si>
  <si>
    <t>plus Cons (M&amp;W)</t>
  </si>
  <si>
    <t>plus Plaid (M&amp;W)</t>
  </si>
  <si>
    <t>SWW and SWC</t>
  </si>
  <si>
    <t>plus Green</t>
  </si>
  <si>
    <t>plus Cons (SWW &amp; SWC)</t>
  </si>
  <si>
    <t>South Wales East Region</t>
  </si>
  <si>
    <t>plus Plaid (SWE)</t>
  </si>
  <si>
    <t>plus Lab (SWE)</t>
  </si>
  <si>
    <t>South Wales Central Region</t>
  </si>
  <si>
    <t xml:space="preserve">Cons </t>
  </si>
  <si>
    <t>Plus UKIP</t>
  </si>
  <si>
    <t>plus Cons (SWC)</t>
  </si>
  <si>
    <t>plus Lab (SWC)</t>
  </si>
  <si>
    <t>Plus Plaid</t>
  </si>
  <si>
    <t>South Wales Central region</t>
  </si>
  <si>
    <t>plus Plaid (SWC)</t>
  </si>
  <si>
    <t>Mid &amp; West Wales Region</t>
  </si>
  <si>
    <t>North Wales</t>
  </si>
  <si>
    <t>Plus Reform</t>
  </si>
  <si>
    <t>plus Plaid (NW)</t>
  </si>
  <si>
    <t>plus Lab (NW)</t>
  </si>
  <si>
    <t>plus Cons (NW)</t>
  </si>
  <si>
    <t>North Wales Region</t>
  </si>
  <si>
    <t>M&amp;W and NW regions</t>
  </si>
  <si>
    <t>Plus LD</t>
  </si>
  <si>
    <t>M&amp;W and SWW Regions</t>
  </si>
  <si>
    <t>new calcs done</t>
  </si>
  <si>
    <t>SWW &amp; SWC Regions</t>
  </si>
  <si>
    <t>plus Plaid (SWW &amp; SWC)</t>
  </si>
  <si>
    <t>South Wales West Region</t>
  </si>
  <si>
    <t>plus Cons (SWW)</t>
  </si>
  <si>
    <t>South Wales West</t>
  </si>
  <si>
    <t>South Wales East</t>
  </si>
  <si>
    <t>plus Cons (SWE)</t>
  </si>
  <si>
    <t>Plus Green</t>
  </si>
  <si>
    <t>Plus Cons (SWE)</t>
  </si>
  <si>
    <t>Plsu AWAP</t>
  </si>
  <si>
    <t>plus Lab (M&amp;W)</t>
  </si>
  <si>
    <t>same as 90 seats</t>
  </si>
  <si>
    <t>Plus Greens</t>
  </si>
  <si>
    <t>plus Lab (MW &amp; NW)</t>
  </si>
  <si>
    <t>plus Plaid (MW &amp; SWW)</t>
  </si>
  <si>
    <t>plus Lab (SWW &amp; SWC)</t>
  </si>
  <si>
    <t>plus Plaid (SWW&amp;SWC)</t>
  </si>
  <si>
    <t>plus Plaid (SWW)</t>
  </si>
  <si>
    <t>STV Constituency</t>
  </si>
  <si>
    <t>Total Seats</t>
  </si>
  <si>
    <t>Total seats under STV modelling</t>
  </si>
  <si>
    <t>Proportion of seats under STV modelling</t>
  </si>
  <si>
    <t>Regional list vote 2021</t>
  </si>
  <si>
    <t>Tory</t>
  </si>
  <si>
    <t>Senedd Size</t>
  </si>
  <si>
    <t>80 seats</t>
  </si>
  <si>
    <t>90 seats</t>
  </si>
  <si>
    <t>100 seats</t>
  </si>
  <si>
    <t>%</t>
  </si>
  <si>
    <t>Plus AWAP</t>
  </si>
  <si>
    <t>Plus Lab (SWW)</t>
  </si>
  <si>
    <t>Plus Plaid (SWW)</t>
  </si>
  <si>
    <t>Plus Lab (SWE)</t>
  </si>
  <si>
    <t>Plus Lab (MWW)</t>
  </si>
  <si>
    <t>Plus Plaid (MWW)</t>
  </si>
  <si>
    <t>Plus Cons (MWW)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</si>
</sst>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00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Fill="1" applyBorder="1"/>
    <xf numFmtId="10" fontId="0" fillId="0" borderId="0" xfId="0" applyNumberFormat="1"/>
    <xf numFmtId="10" fontId="2" fillId="0" borderId="0" xfId="0" applyNumberFormat="1" applyFont="1"/>
    <xf numFmtId="0" fontId="0" fillId="3" borderId="0" xfId="0" applyFill="1"/>
    <xf numFmtId="10" fontId="0" fillId="3" borderId="0" xfId="0" applyNumberFormat="1" applyFill="1"/>
    <xf numFmtId="0" fontId="2" fillId="4" borderId="0" xfId="0" applyFont="1" applyFill="1"/>
    <xf numFmtId="0" fontId="0" fillId="5" borderId="0" xfId="0" applyFill="1"/>
    <xf numFmtId="0" fontId="2" fillId="5" borderId="0" xfId="0" applyFont="1" applyFill="1"/>
    <xf numFmtId="0" fontId="0" fillId="6" borderId="0" xfId="0" applyFill="1"/>
    <xf numFmtId="0" fontId="0" fillId="4" borderId="0" xfId="0" applyFill="1"/>
    <xf numFmtId="0" fontId="0" fillId="0" borderId="0" xfId="0" applyFill="1"/>
    <xf numFmtId="10" fontId="0" fillId="0" borderId="0" xfId="0" applyNumberFormat="1" applyFill="1"/>
    <xf numFmtId="0" fontId="1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11" borderId="1" xfId="0" applyFont="1" applyFill="1" applyBorder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Fill="1"/>
    <xf numFmtId="0" fontId="0" fillId="0" borderId="0" xfId="0" applyNumberFormat="1"/>
    <xf numFmtId="0" fontId="0" fillId="5" borderId="0" xfId="0" applyNumberFormat="1" applyFill="1"/>
    <xf numFmtId="0" fontId="0" fillId="6" borderId="0" xfId="0" applyNumberFormat="1" applyFill="1"/>
  </cellXfs>
  <cellStyles count="6">
    <cellStyle name="Hyperlink 2" xfId="4" xr:uid="{48F136C8-4F9C-4FD8-A747-863C95D918D4}"/>
    <cellStyle name="Normal" xfId="0" builtinId="0"/>
    <cellStyle name="Normal 2" xfId="5" xr:uid="{DC12A8AC-F25E-4A4E-B6A9-3309FCA2E2D5}"/>
    <cellStyle name="Normal 3" xfId="1" xr:uid="{9AAF572F-831D-4C95-BF99-D0AFFD9F1C39}"/>
    <cellStyle name="Percent 2" xfId="3" xr:uid="{C46E1974-ABE9-4EEB-9E8D-6976C76F8F5B}"/>
    <cellStyle name="Percent 3" xfId="2" xr:uid="{B335EE13-5EB3-42DB-93D8-86A91DAFE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5C06-D866-4B5B-AA16-3A8C6218C9D8}">
  <dimension ref="A1:D22"/>
  <sheetViews>
    <sheetView zoomScale="80" zoomScaleNormal="80" workbookViewId="0">
      <selection activeCell="E24" sqref="E24"/>
    </sheetView>
  </sheetViews>
  <sheetFormatPr defaultRowHeight="14.5" x14ac:dyDescent="0.35"/>
  <cols>
    <col min="1" max="1" width="61.08984375" bestFit="1" customWidth="1"/>
  </cols>
  <sheetData>
    <row r="1" spans="1:4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t="s">
        <v>4</v>
      </c>
      <c r="B2">
        <v>4</v>
      </c>
      <c r="C2">
        <v>4</v>
      </c>
      <c r="D2" s="3">
        <v>5</v>
      </c>
    </row>
    <row r="3" spans="1:4" x14ac:dyDescent="0.35">
      <c r="A3" t="s">
        <v>5</v>
      </c>
      <c r="B3" s="3">
        <v>3</v>
      </c>
      <c r="C3">
        <v>4</v>
      </c>
      <c r="D3">
        <v>4</v>
      </c>
    </row>
    <row r="4" spans="1:4" x14ac:dyDescent="0.35">
      <c r="A4" t="s">
        <v>6</v>
      </c>
      <c r="B4">
        <v>4</v>
      </c>
      <c r="C4">
        <v>4</v>
      </c>
      <c r="D4" s="3">
        <v>5</v>
      </c>
    </row>
    <row r="5" spans="1:4" x14ac:dyDescent="0.35">
      <c r="A5" t="s">
        <v>7</v>
      </c>
      <c r="B5" s="3">
        <v>3</v>
      </c>
      <c r="C5">
        <v>4</v>
      </c>
      <c r="D5">
        <v>4</v>
      </c>
    </row>
    <row r="6" spans="1:4" x14ac:dyDescent="0.35">
      <c r="A6" t="s">
        <v>8</v>
      </c>
      <c r="B6">
        <v>5</v>
      </c>
      <c r="C6">
        <v>5</v>
      </c>
      <c r="D6" s="3">
        <v>6</v>
      </c>
    </row>
    <row r="7" spans="1:4" x14ac:dyDescent="0.35">
      <c r="A7" t="s">
        <v>9</v>
      </c>
      <c r="B7" s="3">
        <v>4</v>
      </c>
      <c r="C7">
        <v>5</v>
      </c>
      <c r="D7">
        <v>5</v>
      </c>
    </row>
    <row r="8" spans="1:4" x14ac:dyDescent="0.35">
      <c r="A8" t="s">
        <v>10</v>
      </c>
      <c r="B8">
        <v>5</v>
      </c>
      <c r="C8">
        <v>5</v>
      </c>
      <c r="D8" s="3">
        <v>6</v>
      </c>
    </row>
    <row r="9" spans="1:4" x14ac:dyDescent="0.35">
      <c r="A9" t="s">
        <v>11</v>
      </c>
      <c r="B9">
        <v>5</v>
      </c>
      <c r="C9">
        <v>5</v>
      </c>
      <c r="D9" s="3">
        <v>6</v>
      </c>
    </row>
    <row r="10" spans="1:4" x14ac:dyDescent="0.35">
      <c r="A10" t="s">
        <v>12</v>
      </c>
      <c r="B10">
        <v>4</v>
      </c>
      <c r="C10">
        <v>4</v>
      </c>
      <c r="D10" s="3">
        <v>5</v>
      </c>
    </row>
    <row r="11" spans="1:4" x14ac:dyDescent="0.35">
      <c r="A11" t="s">
        <v>13</v>
      </c>
      <c r="B11" s="3">
        <v>4</v>
      </c>
      <c r="C11">
        <v>5</v>
      </c>
      <c r="D11">
        <v>5</v>
      </c>
    </row>
    <row r="12" spans="1:4" x14ac:dyDescent="0.35">
      <c r="A12" t="s">
        <v>14</v>
      </c>
      <c r="B12">
        <v>4</v>
      </c>
      <c r="C12">
        <v>4</v>
      </c>
      <c r="D12" s="3">
        <v>5</v>
      </c>
    </row>
    <row r="13" spans="1:4" x14ac:dyDescent="0.35">
      <c r="A13" t="s">
        <v>15</v>
      </c>
      <c r="B13">
        <v>4</v>
      </c>
      <c r="C13">
        <v>4</v>
      </c>
      <c r="D13" s="3">
        <v>5</v>
      </c>
    </row>
    <row r="14" spans="1:4" x14ac:dyDescent="0.35">
      <c r="A14" t="s">
        <v>16</v>
      </c>
      <c r="B14">
        <v>4</v>
      </c>
      <c r="C14">
        <v>4</v>
      </c>
      <c r="D14" s="3">
        <v>5</v>
      </c>
    </row>
    <row r="15" spans="1:4" x14ac:dyDescent="0.35">
      <c r="A15" s="2" t="s">
        <v>17</v>
      </c>
      <c r="B15" s="3">
        <v>4</v>
      </c>
      <c r="C15">
        <v>5</v>
      </c>
      <c r="D15">
        <v>5</v>
      </c>
    </row>
    <row r="16" spans="1:4" x14ac:dyDescent="0.35">
      <c r="A16" t="s">
        <v>18</v>
      </c>
      <c r="B16" s="3">
        <v>3</v>
      </c>
      <c r="C16">
        <v>4</v>
      </c>
      <c r="D16">
        <v>4</v>
      </c>
    </row>
    <row r="17" spans="1:4" x14ac:dyDescent="0.35">
      <c r="A17" t="s">
        <v>19</v>
      </c>
      <c r="B17" s="3">
        <v>4</v>
      </c>
      <c r="C17">
        <v>5</v>
      </c>
      <c r="D17">
        <v>5</v>
      </c>
    </row>
    <row r="18" spans="1:4" x14ac:dyDescent="0.35">
      <c r="A18" t="s">
        <v>20</v>
      </c>
      <c r="B18" s="3">
        <v>4</v>
      </c>
      <c r="C18">
        <v>5</v>
      </c>
      <c r="D18">
        <v>5</v>
      </c>
    </row>
    <row r="19" spans="1:4" x14ac:dyDescent="0.35">
      <c r="A19" t="s">
        <v>21</v>
      </c>
      <c r="B19" s="3">
        <v>4</v>
      </c>
      <c r="C19">
        <v>5</v>
      </c>
      <c r="D19">
        <v>5</v>
      </c>
    </row>
    <row r="20" spans="1:4" x14ac:dyDescent="0.35">
      <c r="A20" t="s">
        <v>22</v>
      </c>
      <c r="B20">
        <v>4</v>
      </c>
      <c r="C20">
        <v>4</v>
      </c>
      <c r="D20" s="3">
        <v>5</v>
      </c>
    </row>
    <row r="21" spans="1:4" x14ac:dyDescent="0.35">
      <c r="A21" t="s">
        <v>23</v>
      </c>
      <c r="B21" s="3">
        <v>4</v>
      </c>
      <c r="C21">
        <v>5</v>
      </c>
      <c r="D21">
        <v>5</v>
      </c>
    </row>
    <row r="22" spans="1:4" x14ac:dyDescent="0.35">
      <c r="A22" t="s">
        <v>24</v>
      </c>
      <c r="B22">
        <v>80</v>
      </c>
      <c r="C22">
        <v>90</v>
      </c>
      <c r="D22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B3796-9B63-4D60-9BCB-7CAA1F2F328F}">
  <dimension ref="A1:F7"/>
  <sheetViews>
    <sheetView workbookViewId="0">
      <selection activeCell="G8" sqref="G8"/>
    </sheetView>
  </sheetViews>
  <sheetFormatPr defaultRowHeight="14.5" x14ac:dyDescent="0.35"/>
  <cols>
    <col min="1" max="1" width="16.36328125" bestFit="1" customWidth="1"/>
  </cols>
  <sheetData>
    <row r="1" spans="1:6" ht="26.5" x14ac:dyDescent="0.35">
      <c r="A1" s="17" t="s">
        <v>112</v>
      </c>
      <c r="B1" s="18" t="s">
        <v>25</v>
      </c>
      <c r="C1" s="19" t="s">
        <v>26</v>
      </c>
      <c r="D1" s="20" t="s">
        <v>27</v>
      </c>
      <c r="E1" s="21" t="s">
        <v>28</v>
      </c>
      <c r="F1" s="22" t="s">
        <v>107</v>
      </c>
    </row>
    <row r="2" spans="1:6" x14ac:dyDescent="0.35">
      <c r="A2" t="s">
        <v>113</v>
      </c>
      <c r="B2">
        <v>27</v>
      </c>
      <c r="C2">
        <v>34</v>
      </c>
      <c r="D2">
        <v>2</v>
      </c>
      <c r="E2">
        <v>17</v>
      </c>
      <c r="F2">
        <v>80</v>
      </c>
    </row>
    <row r="3" spans="1:6" x14ac:dyDescent="0.35">
      <c r="A3" t="s">
        <v>116</v>
      </c>
      <c r="B3" s="24">
        <f>B2/$F2</f>
        <v>0.33750000000000002</v>
      </c>
      <c r="C3" s="24">
        <f t="shared" ref="C3:F3" si="0">C2/$F2</f>
        <v>0.42499999999999999</v>
      </c>
      <c r="D3" s="24">
        <f t="shared" si="0"/>
        <v>2.5000000000000001E-2</v>
      </c>
      <c r="E3" s="24">
        <f t="shared" si="0"/>
        <v>0.21249999999999999</v>
      </c>
      <c r="F3" s="24">
        <f t="shared" si="0"/>
        <v>1</v>
      </c>
    </row>
    <row r="4" spans="1:6" x14ac:dyDescent="0.35">
      <c r="A4" t="s">
        <v>114</v>
      </c>
      <c r="B4">
        <v>29</v>
      </c>
      <c r="C4">
        <v>37</v>
      </c>
      <c r="D4">
        <v>2</v>
      </c>
      <c r="E4">
        <v>22</v>
      </c>
      <c r="F4">
        <v>90</v>
      </c>
    </row>
    <row r="5" spans="1:6" x14ac:dyDescent="0.35">
      <c r="A5" t="s">
        <v>116</v>
      </c>
      <c r="B5" s="24">
        <f>B4/$F4</f>
        <v>0.32222222222222224</v>
      </c>
      <c r="C5" s="24">
        <f t="shared" ref="C5:F5" si="1">C4/$F4</f>
        <v>0.41111111111111109</v>
      </c>
      <c r="D5" s="24">
        <f t="shared" si="1"/>
        <v>2.2222222222222223E-2</v>
      </c>
      <c r="E5" s="24">
        <f t="shared" si="1"/>
        <v>0.24444444444444444</v>
      </c>
      <c r="F5" s="24">
        <f t="shared" si="1"/>
        <v>1</v>
      </c>
    </row>
    <row r="6" spans="1:6" x14ac:dyDescent="0.35">
      <c r="A6" t="s">
        <v>115</v>
      </c>
      <c r="B6">
        <v>29</v>
      </c>
      <c r="C6">
        <v>47</v>
      </c>
      <c r="D6">
        <v>2</v>
      </c>
      <c r="E6">
        <v>22</v>
      </c>
      <c r="F6">
        <v>100</v>
      </c>
    </row>
    <row r="7" spans="1:6" x14ac:dyDescent="0.35">
      <c r="A7" t="s">
        <v>116</v>
      </c>
      <c r="B7" s="24">
        <f>B6/$F6</f>
        <v>0.28999999999999998</v>
      </c>
      <c r="C7" s="24">
        <f t="shared" ref="C7:F7" si="2">C6/$F6</f>
        <v>0.47</v>
      </c>
      <c r="D7" s="24">
        <f t="shared" si="2"/>
        <v>0.02</v>
      </c>
      <c r="E7" s="24">
        <f t="shared" si="2"/>
        <v>0.22</v>
      </c>
      <c r="F7" s="24">
        <f t="shared" si="2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57DC-EC7B-43E4-9AC3-AD55B9BB1260}">
  <dimension ref="A1:F129"/>
  <sheetViews>
    <sheetView zoomScale="70" zoomScaleNormal="70" workbookViewId="0">
      <selection activeCell="A24" sqref="A24"/>
    </sheetView>
  </sheetViews>
  <sheetFormatPr defaultRowHeight="14.5" x14ac:dyDescent="0.35"/>
  <cols>
    <col min="1" max="1" width="60.6328125" bestFit="1" customWidth="1"/>
    <col min="6" max="6" width="9.1796875" bestFit="1" customWidth="1"/>
  </cols>
  <sheetData>
    <row r="1" spans="1:6" ht="26.5" x14ac:dyDescent="0.35">
      <c r="A1" s="17" t="s">
        <v>106</v>
      </c>
      <c r="B1" s="18" t="s">
        <v>25</v>
      </c>
      <c r="C1" s="19" t="s">
        <v>26</v>
      </c>
      <c r="D1" s="20" t="s">
        <v>27</v>
      </c>
      <c r="E1" s="21" t="s">
        <v>28</v>
      </c>
      <c r="F1" s="22" t="s">
        <v>107</v>
      </c>
    </row>
    <row r="2" spans="1:6" x14ac:dyDescent="0.35">
      <c r="A2" s="2" t="s">
        <v>4</v>
      </c>
      <c r="B2" s="2">
        <v>1</v>
      </c>
      <c r="C2" s="2">
        <v>2</v>
      </c>
      <c r="D2" s="2"/>
      <c r="E2" s="2">
        <v>1</v>
      </c>
      <c r="F2" s="2">
        <v>4</v>
      </c>
    </row>
    <row r="3" spans="1:6" x14ac:dyDescent="0.35">
      <c r="A3" s="2" t="s">
        <v>5</v>
      </c>
      <c r="B3" s="2">
        <v>1</v>
      </c>
      <c r="C3" s="2">
        <v>1</v>
      </c>
      <c r="D3" s="2"/>
      <c r="E3" s="2">
        <v>2</v>
      </c>
      <c r="F3" s="2">
        <v>4</v>
      </c>
    </row>
    <row r="4" spans="1:6" x14ac:dyDescent="0.35">
      <c r="A4" s="2" t="s">
        <v>6</v>
      </c>
      <c r="B4" s="2">
        <v>1</v>
      </c>
      <c r="C4" s="2">
        <v>2</v>
      </c>
      <c r="D4" s="2"/>
      <c r="E4" s="2">
        <v>1</v>
      </c>
      <c r="F4" s="2">
        <v>4</v>
      </c>
    </row>
    <row r="5" spans="1:6" x14ac:dyDescent="0.35">
      <c r="A5" s="2" t="s">
        <v>7</v>
      </c>
      <c r="B5" s="2">
        <v>2</v>
      </c>
      <c r="C5" s="2">
        <v>1</v>
      </c>
      <c r="D5" s="2">
        <v>1</v>
      </c>
      <c r="E5" s="2"/>
      <c r="F5" s="2">
        <v>4</v>
      </c>
    </row>
    <row r="6" spans="1:6" x14ac:dyDescent="0.35">
      <c r="A6" s="2" t="s">
        <v>8</v>
      </c>
      <c r="B6" s="2">
        <v>2</v>
      </c>
      <c r="C6" s="2">
        <v>2</v>
      </c>
      <c r="D6" s="2"/>
      <c r="E6" s="2">
        <v>1</v>
      </c>
      <c r="F6" s="2">
        <v>5</v>
      </c>
    </row>
    <row r="7" spans="1:6" x14ac:dyDescent="0.35">
      <c r="A7" s="2" t="s">
        <v>9</v>
      </c>
      <c r="B7" s="2">
        <v>1</v>
      </c>
      <c r="C7" s="2">
        <v>3</v>
      </c>
      <c r="D7" s="2"/>
      <c r="E7" s="2">
        <v>1</v>
      </c>
      <c r="F7" s="2">
        <v>5</v>
      </c>
    </row>
    <row r="8" spans="1:6" x14ac:dyDescent="0.35">
      <c r="A8" s="2" t="s">
        <v>10</v>
      </c>
      <c r="B8" s="2">
        <v>1</v>
      </c>
      <c r="C8" s="2">
        <v>2</v>
      </c>
      <c r="D8" s="2">
        <v>1</v>
      </c>
      <c r="E8" s="2">
        <v>1</v>
      </c>
      <c r="F8" s="2">
        <v>5</v>
      </c>
    </row>
    <row r="9" spans="1:6" x14ac:dyDescent="0.35">
      <c r="A9" s="2" t="s">
        <v>11</v>
      </c>
      <c r="B9" s="2">
        <v>2</v>
      </c>
      <c r="C9" s="2">
        <v>2</v>
      </c>
      <c r="D9" s="2"/>
      <c r="E9" s="2">
        <v>1</v>
      </c>
      <c r="F9" s="2">
        <v>5</v>
      </c>
    </row>
    <row r="10" spans="1:6" x14ac:dyDescent="0.35">
      <c r="A10" s="2" t="s">
        <v>12</v>
      </c>
      <c r="B10" s="2">
        <v>1</v>
      </c>
      <c r="C10" s="2">
        <v>1</v>
      </c>
      <c r="D10" s="2"/>
      <c r="E10" s="2">
        <v>2</v>
      </c>
      <c r="F10" s="2">
        <v>4</v>
      </c>
    </row>
    <row r="11" spans="1:6" x14ac:dyDescent="0.35">
      <c r="A11" s="2" t="s">
        <v>13</v>
      </c>
      <c r="B11" s="2">
        <v>2</v>
      </c>
      <c r="C11" s="2">
        <v>2</v>
      </c>
      <c r="D11" s="2"/>
      <c r="E11" s="2">
        <v>1</v>
      </c>
      <c r="F11" s="2">
        <v>5</v>
      </c>
    </row>
    <row r="12" spans="1:6" x14ac:dyDescent="0.35">
      <c r="A12" s="2" t="s">
        <v>14</v>
      </c>
      <c r="B12" s="2">
        <v>2</v>
      </c>
      <c r="C12" s="2">
        <v>1</v>
      </c>
      <c r="D12" s="2"/>
      <c r="E12" s="2">
        <v>1</v>
      </c>
      <c r="F12" s="2">
        <v>4</v>
      </c>
    </row>
    <row r="13" spans="1:6" x14ac:dyDescent="0.35">
      <c r="A13" s="2" t="s">
        <v>15</v>
      </c>
      <c r="B13" s="2">
        <v>2</v>
      </c>
      <c r="C13" s="2">
        <v>1</v>
      </c>
      <c r="D13" s="2"/>
      <c r="E13" s="2">
        <v>1</v>
      </c>
      <c r="F13" s="2">
        <v>4</v>
      </c>
    </row>
    <row r="14" spans="1:6" x14ac:dyDescent="0.35">
      <c r="A14" s="2" t="s">
        <v>16</v>
      </c>
      <c r="B14" s="2">
        <v>1</v>
      </c>
      <c r="C14" s="2">
        <v>2</v>
      </c>
      <c r="D14" s="2"/>
      <c r="E14" s="2">
        <v>1</v>
      </c>
      <c r="F14" s="2">
        <v>4</v>
      </c>
    </row>
    <row r="15" spans="1:6" x14ac:dyDescent="0.35">
      <c r="A15" s="2" t="s">
        <v>17</v>
      </c>
      <c r="B15" s="2">
        <v>2</v>
      </c>
      <c r="C15" s="2">
        <v>2</v>
      </c>
      <c r="D15" s="2"/>
      <c r="E15" s="2">
        <v>1</v>
      </c>
      <c r="F15" s="2">
        <v>5</v>
      </c>
    </row>
    <row r="16" spans="1:6" x14ac:dyDescent="0.35">
      <c r="A16" s="2" t="s">
        <v>18</v>
      </c>
      <c r="B16" s="2">
        <v>1</v>
      </c>
      <c r="C16" s="2">
        <v>1</v>
      </c>
      <c r="D16" s="2"/>
      <c r="E16" s="2">
        <v>2</v>
      </c>
      <c r="F16" s="2">
        <v>4</v>
      </c>
    </row>
    <row r="17" spans="1:6" x14ac:dyDescent="0.35">
      <c r="A17" s="2" t="s">
        <v>19</v>
      </c>
      <c r="B17" s="2">
        <v>1</v>
      </c>
      <c r="C17" s="2">
        <v>3</v>
      </c>
      <c r="D17" s="2"/>
      <c r="E17" s="2">
        <v>1</v>
      </c>
      <c r="F17" s="2">
        <v>5</v>
      </c>
    </row>
    <row r="18" spans="1:6" x14ac:dyDescent="0.35">
      <c r="A18" s="2" t="s">
        <v>20</v>
      </c>
      <c r="B18" s="2">
        <v>2</v>
      </c>
      <c r="C18" s="2">
        <v>2</v>
      </c>
      <c r="D18" s="2"/>
      <c r="E18" s="2">
        <v>1</v>
      </c>
      <c r="F18" s="2">
        <v>5</v>
      </c>
    </row>
    <row r="19" spans="1:6" x14ac:dyDescent="0.35">
      <c r="A19" s="2" t="s">
        <v>21</v>
      </c>
      <c r="B19" s="2">
        <v>2</v>
      </c>
      <c r="C19" s="2">
        <v>2</v>
      </c>
      <c r="D19" s="2"/>
      <c r="E19" s="2">
        <v>1</v>
      </c>
      <c r="F19" s="2">
        <v>5</v>
      </c>
    </row>
    <row r="20" spans="1:6" x14ac:dyDescent="0.35">
      <c r="A20" s="2" t="s">
        <v>22</v>
      </c>
      <c r="B20" s="2">
        <v>1</v>
      </c>
      <c r="C20" s="2">
        <v>2</v>
      </c>
      <c r="D20" s="2"/>
      <c r="E20" s="2">
        <v>1</v>
      </c>
      <c r="F20" s="2">
        <v>4</v>
      </c>
    </row>
    <row r="21" spans="1:6" x14ac:dyDescent="0.35">
      <c r="A21" s="2" t="s">
        <v>23</v>
      </c>
      <c r="B21" s="2">
        <v>1</v>
      </c>
      <c r="C21" s="2">
        <v>3</v>
      </c>
      <c r="D21" s="2"/>
      <c r="E21" s="2">
        <v>1</v>
      </c>
      <c r="F21" s="2">
        <v>5</v>
      </c>
    </row>
    <row r="22" spans="1:6" x14ac:dyDescent="0.35">
      <c r="A22" s="2"/>
      <c r="B22" s="2"/>
      <c r="C22" s="2"/>
      <c r="D22" s="2"/>
      <c r="E22" s="2"/>
    </row>
    <row r="23" spans="1:6" x14ac:dyDescent="0.35">
      <c r="A23" s="2" t="s">
        <v>108</v>
      </c>
      <c r="B23" s="2">
        <v>29</v>
      </c>
      <c r="C23" s="2">
        <v>37</v>
      </c>
      <c r="D23" s="2">
        <v>2</v>
      </c>
      <c r="E23" s="2">
        <v>22</v>
      </c>
      <c r="F23">
        <f>SUM(F2:F21)</f>
        <v>90</v>
      </c>
    </row>
    <row r="24" spans="1:6" x14ac:dyDescent="0.35">
      <c r="A24" s="2" t="s">
        <v>109</v>
      </c>
      <c r="B24" s="7">
        <v>0.32219999999999999</v>
      </c>
      <c r="C24" s="7">
        <v>0.41110000000000002</v>
      </c>
      <c r="D24" s="7">
        <v>2.2200000000000001E-2</v>
      </c>
      <c r="E24" s="7">
        <v>0.24440000000000001</v>
      </c>
      <c r="F24" s="7"/>
    </row>
    <row r="25" spans="1:6" x14ac:dyDescent="0.35">
      <c r="A25" s="2"/>
      <c r="B25" s="2"/>
      <c r="C25" s="2"/>
      <c r="D25" s="2"/>
      <c r="E25" s="2"/>
    </row>
    <row r="26" spans="1:6" x14ac:dyDescent="0.35">
      <c r="A26" s="2" t="s">
        <v>32</v>
      </c>
      <c r="B26" s="2">
        <v>16</v>
      </c>
      <c r="C26" s="2">
        <v>30</v>
      </c>
      <c r="D26" s="2">
        <v>1</v>
      </c>
      <c r="E26" s="2">
        <v>13</v>
      </c>
      <c r="F26" s="2">
        <v>60</v>
      </c>
    </row>
    <row r="27" spans="1:6" x14ac:dyDescent="0.35">
      <c r="A27" s="2" t="s">
        <v>33</v>
      </c>
      <c r="B27" s="7">
        <v>0.26669999999999999</v>
      </c>
      <c r="C27" s="7">
        <v>0.5</v>
      </c>
      <c r="D27" s="7">
        <v>1.67E-2</v>
      </c>
      <c r="E27" s="7">
        <v>0.2167</v>
      </c>
    </row>
    <row r="28" spans="1:6" x14ac:dyDescent="0.35">
      <c r="A28" s="2"/>
    </row>
    <row r="29" spans="1:6" x14ac:dyDescent="0.35">
      <c r="A29" s="2"/>
    </row>
    <row r="30" spans="1:6" x14ac:dyDescent="0.35">
      <c r="A30" s="2"/>
    </row>
    <row r="31" spans="1:6" x14ac:dyDescent="0.35">
      <c r="A31" s="2"/>
    </row>
    <row r="32" spans="1:6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  <row r="44" spans="1:1" x14ac:dyDescent="0.35">
      <c r="A44" s="2"/>
    </row>
    <row r="45" spans="1:1" x14ac:dyDescent="0.35">
      <c r="A45" s="2"/>
    </row>
    <row r="46" spans="1:1" x14ac:dyDescent="0.35">
      <c r="A46" s="2"/>
    </row>
    <row r="47" spans="1:1" x14ac:dyDescent="0.35">
      <c r="A47" s="2"/>
    </row>
    <row r="48" spans="1:1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3" x14ac:dyDescent="0.35">
      <c r="A65" s="2"/>
    </row>
    <row r="66" spans="1:3" x14ac:dyDescent="0.35">
      <c r="A66" s="2"/>
    </row>
    <row r="67" spans="1:3" x14ac:dyDescent="0.35">
      <c r="A67" s="2"/>
    </row>
    <row r="68" spans="1:3" x14ac:dyDescent="0.35">
      <c r="A68" s="2"/>
    </row>
    <row r="69" spans="1:3" x14ac:dyDescent="0.35">
      <c r="A69" s="2"/>
    </row>
    <row r="70" spans="1:3" x14ac:dyDescent="0.35">
      <c r="A70" s="2"/>
    </row>
    <row r="71" spans="1:3" x14ac:dyDescent="0.35">
      <c r="A71" s="2"/>
    </row>
    <row r="72" spans="1:3" x14ac:dyDescent="0.35">
      <c r="A72" s="2"/>
    </row>
    <row r="73" spans="1:3" x14ac:dyDescent="0.35">
      <c r="A73" s="2"/>
    </row>
    <row r="74" spans="1:3" x14ac:dyDescent="0.35">
      <c r="A74" s="2"/>
    </row>
    <row r="75" spans="1:3" x14ac:dyDescent="0.35">
      <c r="A75" s="2"/>
    </row>
    <row r="76" spans="1:3" x14ac:dyDescent="0.35">
      <c r="A76" s="2"/>
    </row>
    <row r="77" spans="1:3" x14ac:dyDescent="0.35">
      <c r="A77" s="23"/>
    </row>
    <row r="78" spans="1:3" x14ac:dyDescent="0.35">
      <c r="A78" s="25" t="s">
        <v>110</v>
      </c>
      <c r="B78" s="25"/>
      <c r="C78" s="25"/>
    </row>
    <row r="79" spans="1:3" x14ac:dyDescent="0.35">
      <c r="A79" s="1" t="s">
        <v>111</v>
      </c>
    </row>
    <row r="80" spans="1:3" x14ac:dyDescent="0.35">
      <c r="A80" s="2">
        <v>0.82</v>
      </c>
    </row>
    <row r="81" spans="1:1" x14ac:dyDescent="0.35">
      <c r="A81" s="2">
        <v>0</v>
      </c>
    </row>
    <row r="82" spans="1:1" x14ac:dyDescent="0.35">
      <c r="A82" s="2">
        <v>0</v>
      </c>
    </row>
    <row r="83" spans="1:1" x14ac:dyDescent="0.35">
      <c r="A83" s="2">
        <v>0.01</v>
      </c>
    </row>
    <row r="84" spans="1:1" x14ac:dyDescent="0.35">
      <c r="A84" s="2">
        <v>0</v>
      </c>
    </row>
    <row r="85" spans="1:1" x14ac:dyDescent="0.35">
      <c r="A85" s="2"/>
    </row>
    <row r="86" spans="1:1" x14ac:dyDescent="0.35">
      <c r="A86" s="2"/>
    </row>
    <row r="87" spans="1:1" x14ac:dyDescent="0.35">
      <c r="A87" s="2"/>
    </row>
    <row r="88" spans="1:1" x14ac:dyDescent="0.35">
      <c r="A88" s="2"/>
    </row>
    <row r="89" spans="1:1" x14ac:dyDescent="0.35">
      <c r="A89" s="2"/>
    </row>
    <row r="90" spans="1:1" x14ac:dyDescent="0.35">
      <c r="A90" s="2"/>
    </row>
    <row r="91" spans="1:1" x14ac:dyDescent="0.35">
      <c r="A91" s="2"/>
    </row>
    <row r="92" spans="1:1" x14ac:dyDescent="0.35">
      <c r="A92" s="2">
        <v>0.01</v>
      </c>
    </row>
    <row r="93" spans="1:1" x14ac:dyDescent="0.35">
      <c r="A93" s="2">
        <v>0</v>
      </c>
    </row>
    <row r="94" spans="1:1" x14ac:dyDescent="0.35">
      <c r="A94" s="2">
        <v>0.03</v>
      </c>
    </row>
    <row r="95" spans="1:1" x14ac:dyDescent="0.35">
      <c r="A95" s="2">
        <v>0</v>
      </c>
    </row>
    <row r="96" spans="1:1" x14ac:dyDescent="0.35">
      <c r="A96" s="2">
        <v>0.02</v>
      </c>
    </row>
    <row r="97" spans="1:1" x14ac:dyDescent="0.35">
      <c r="A97" s="2">
        <v>0</v>
      </c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>
        <v>0</v>
      </c>
    </row>
    <row r="108" spans="1:1" x14ac:dyDescent="0.35">
      <c r="A108" s="2">
        <v>0</v>
      </c>
    </row>
    <row r="109" spans="1:1" x14ac:dyDescent="0.35">
      <c r="A109" s="2">
        <v>0</v>
      </c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1"/>
    </row>
    <row r="118" spans="1:1" x14ac:dyDescent="0.35">
      <c r="A118" s="2"/>
    </row>
    <row r="119" spans="1:1" x14ac:dyDescent="0.35">
      <c r="A119" s="2"/>
    </row>
    <row r="120" spans="1:1" x14ac:dyDescent="0.35">
      <c r="A120" s="2"/>
    </row>
    <row r="121" spans="1:1" x14ac:dyDescent="0.35">
      <c r="A121" s="2"/>
    </row>
    <row r="122" spans="1:1" x14ac:dyDescent="0.35">
      <c r="A122" s="2"/>
    </row>
    <row r="123" spans="1:1" x14ac:dyDescent="0.35">
      <c r="A123" s="1"/>
    </row>
    <row r="124" spans="1:1" x14ac:dyDescent="0.35">
      <c r="A124" s="2"/>
    </row>
    <row r="125" spans="1:1" x14ac:dyDescent="0.35">
      <c r="A125" s="2"/>
    </row>
    <row r="126" spans="1:1" x14ac:dyDescent="0.35">
      <c r="A126" s="2"/>
    </row>
    <row r="127" spans="1:1" x14ac:dyDescent="0.35">
      <c r="A127" s="1"/>
    </row>
    <row r="128" spans="1:1" x14ac:dyDescent="0.35">
      <c r="A128" s="2"/>
    </row>
    <row r="129" spans="1:1" x14ac:dyDescent="0.35">
      <c r="A129" s="2"/>
    </row>
  </sheetData>
  <mergeCells count="1">
    <mergeCell ref="A78:C7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444B-30E5-422E-94D7-C8643B2D463C}">
  <dimension ref="A1:R248"/>
  <sheetViews>
    <sheetView topLeftCell="A217" zoomScale="50" zoomScaleNormal="50" workbookViewId="0">
      <selection activeCell="A11" sqref="A11"/>
    </sheetView>
  </sheetViews>
  <sheetFormatPr defaultRowHeight="14.5" x14ac:dyDescent="0.35"/>
  <cols>
    <col min="1" max="1" width="36.7265625" bestFit="1" customWidth="1"/>
    <col min="2" max="2" width="15.54296875" bestFit="1" customWidth="1"/>
    <col min="3" max="3" width="6.81640625" customWidth="1"/>
    <col min="4" max="4" width="9.1796875" bestFit="1" customWidth="1"/>
    <col min="5" max="5" width="9.81640625" bestFit="1" customWidth="1"/>
    <col min="7" max="7" width="9.7265625" bestFit="1" customWidth="1"/>
  </cols>
  <sheetData>
    <row r="1" spans="1:18" x14ac:dyDescent="0.35">
      <c r="A1" t="s">
        <v>34</v>
      </c>
      <c r="B1" t="s">
        <v>35</v>
      </c>
      <c r="C1" t="s">
        <v>36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37</v>
      </c>
      <c r="J1" t="s">
        <v>38</v>
      </c>
      <c r="K1" t="s">
        <v>39</v>
      </c>
      <c r="L1" s="8" t="s">
        <v>40</v>
      </c>
      <c r="M1" s="8" t="s">
        <v>41</v>
      </c>
      <c r="N1" s="8" t="s">
        <v>42</v>
      </c>
      <c r="O1" s="8" t="s">
        <v>43</v>
      </c>
      <c r="P1" s="8" t="s">
        <v>44</v>
      </c>
      <c r="Q1" t="s">
        <v>45</v>
      </c>
      <c r="R1" t="s">
        <v>46</v>
      </c>
    </row>
    <row r="2" spans="1:18" x14ac:dyDescent="0.35">
      <c r="A2" t="s">
        <v>4</v>
      </c>
      <c r="B2">
        <v>4</v>
      </c>
      <c r="C2">
        <f>100/(B2+1)</f>
        <v>20</v>
      </c>
      <c r="D2" s="6">
        <v>0.15361190610177666</v>
      </c>
      <c r="E2" s="6">
        <v>0.43494899107645313</v>
      </c>
      <c r="F2" s="6">
        <v>3.3484030066725623E-2</v>
      </c>
      <c r="G2" s="6">
        <v>0.24245079387410567</v>
      </c>
      <c r="H2" s="6">
        <v>2.3063027574563875E-2</v>
      </c>
      <c r="I2" s="6">
        <v>2.6828611624728674E-2</v>
      </c>
      <c r="J2" s="6">
        <v>1.022877642897339E-2</v>
      </c>
      <c r="K2" s="6">
        <v>2.5600289412332177E-2</v>
      </c>
      <c r="L2" s="9">
        <v>9.2853123241418128E-3</v>
      </c>
      <c r="M2" s="9">
        <v>9.6068815821207486E-3</v>
      </c>
      <c r="N2" s="9">
        <v>2.9946137149288528E-3</v>
      </c>
      <c r="O2" s="9">
        <v>7.1951121472787205E-3</v>
      </c>
      <c r="P2" s="9">
        <v>2.029905940992041E-3</v>
      </c>
      <c r="Q2" s="6">
        <v>1.9133370849746763E-2</v>
      </c>
      <c r="R2" s="6">
        <v>0</v>
      </c>
    </row>
    <row r="3" spans="1:18" x14ac:dyDescent="0.35">
      <c r="A3" s="2" t="s">
        <v>92</v>
      </c>
      <c r="B3" s="26"/>
      <c r="C3" t="s">
        <v>26</v>
      </c>
      <c r="D3">
        <f>D2*100</f>
        <v>15.361190610177665</v>
      </c>
      <c r="E3" s="11">
        <f>(E2*100)-C2</f>
        <v>23.49489910764531</v>
      </c>
      <c r="F3">
        <f t="shared" ref="F3:K3" si="0">F2*100</f>
        <v>3.3484030066725623</v>
      </c>
      <c r="G3">
        <f t="shared" si="0"/>
        <v>24.245079387410566</v>
      </c>
      <c r="H3">
        <f t="shared" si="0"/>
        <v>2.3063027574563875</v>
      </c>
      <c r="I3">
        <f t="shared" si="0"/>
        <v>2.6828611624728675</v>
      </c>
      <c r="J3">
        <f t="shared" si="0"/>
        <v>1.022877642897339</v>
      </c>
      <c r="K3">
        <f t="shared" si="0"/>
        <v>2.5600289412332176</v>
      </c>
      <c r="L3" s="15"/>
      <c r="M3" s="15"/>
      <c r="N3" s="15"/>
      <c r="O3" s="15"/>
      <c r="P3" s="15"/>
    </row>
    <row r="4" spans="1:18" x14ac:dyDescent="0.35">
      <c r="B4" s="26"/>
      <c r="C4" t="s">
        <v>49</v>
      </c>
      <c r="D4">
        <f>D3</f>
        <v>15.361190610177665</v>
      </c>
      <c r="E4">
        <f t="shared" ref="E4:K5" si="1">E3</f>
        <v>23.49489910764531</v>
      </c>
      <c r="F4">
        <f t="shared" si="1"/>
        <v>3.3484030066725623</v>
      </c>
      <c r="G4" s="11">
        <f>G3-C2</f>
        <v>4.2450793874105663</v>
      </c>
      <c r="H4">
        <f t="shared" si="1"/>
        <v>2.3063027574563875</v>
      </c>
      <c r="I4">
        <f t="shared" si="1"/>
        <v>2.6828611624728675</v>
      </c>
      <c r="J4">
        <f t="shared" si="1"/>
        <v>1.022877642897339</v>
      </c>
      <c r="K4">
        <f t="shared" si="1"/>
        <v>2.5600289412332176</v>
      </c>
      <c r="L4" s="15"/>
      <c r="M4" s="15"/>
      <c r="N4" s="15"/>
      <c r="O4" s="15"/>
      <c r="P4" s="15"/>
    </row>
    <row r="5" spans="1:18" x14ac:dyDescent="0.35">
      <c r="A5" s="15"/>
      <c r="B5" s="26"/>
      <c r="C5" t="s">
        <v>26</v>
      </c>
      <c r="D5">
        <f>D4</f>
        <v>15.361190610177665</v>
      </c>
      <c r="E5" s="11">
        <f>E4-C2</f>
        <v>3.4948991076453098</v>
      </c>
      <c r="F5">
        <f t="shared" si="1"/>
        <v>3.3484030066725623</v>
      </c>
      <c r="G5">
        <f t="shared" ref="G5" si="2">G4</f>
        <v>4.2450793874105663</v>
      </c>
      <c r="H5">
        <f t="shared" si="1"/>
        <v>2.3063027574563875</v>
      </c>
      <c r="I5">
        <f t="shared" si="1"/>
        <v>2.6828611624728675</v>
      </c>
      <c r="J5">
        <f t="shared" si="1"/>
        <v>1.022877642897339</v>
      </c>
      <c r="K5">
        <f t="shared" si="1"/>
        <v>2.5600289412332176</v>
      </c>
      <c r="L5" s="15"/>
      <c r="M5" s="15"/>
      <c r="N5" s="15"/>
      <c r="O5" s="15"/>
      <c r="P5" s="15"/>
    </row>
    <row r="6" spans="1:18" x14ac:dyDescent="0.35">
      <c r="B6" s="26" t="s">
        <v>71</v>
      </c>
      <c r="D6">
        <f>D5+($J5*0)</f>
        <v>15.361190610177665</v>
      </c>
      <c r="E6">
        <f t="shared" ref="E6:H6" si="3">E5+($J5*0)</f>
        <v>3.4948991076453098</v>
      </c>
      <c r="F6">
        <f t="shared" si="3"/>
        <v>3.3484030066725623</v>
      </c>
      <c r="G6">
        <f>G5+($J5*0.152)</f>
        <v>4.4005567891309623</v>
      </c>
      <c r="H6">
        <f t="shared" si="3"/>
        <v>2.3063027574563875</v>
      </c>
      <c r="I6">
        <f>I5+($J5*0.3052)</f>
        <v>2.9950434190851354</v>
      </c>
      <c r="J6" s="13"/>
      <c r="K6">
        <f>K5+($J5*0.2892)</f>
        <v>2.8558451555591278</v>
      </c>
      <c r="L6" s="15"/>
      <c r="M6" s="15"/>
      <c r="N6" s="15"/>
      <c r="O6" s="15"/>
      <c r="P6" s="15"/>
    </row>
    <row r="7" spans="1:18" x14ac:dyDescent="0.35">
      <c r="B7" s="26" t="s">
        <v>100</v>
      </c>
      <c r="D7">
        <f>D6+($H6*0)</f>
        <v>15.361190610177665</v>
      </c>
      <c r="E7">
        <f>E6+($H6*0.2754)</f>
        <v>4.1300548870487992</v>
      </c>
      <c r="F7">
        <f>F6+($H6*0.0436)</f>
        <v>3.4489578068976607</v>
      </c>
      <c r="G7">
        <f>G6+($H6*0.4247)</f>
        <v>5.3800435702226901</v>
      </c>
      <c r="H7" s="13"/>
      <c r="I7">
        <f>I6+($H6*0.0179)</f>
        <v>3.0363262384436047</v>
      </c>
      <c r="J7" s="13"/>
      <c r="K7">
        <f>K6+($H6*0)</f>
        <v>2.8558451555591278</v>
      </c>
      <c r="L7" s="15"/>
      <c r="M7" s="15"/>
      <c r="N7" s="15"/>
      <c r="O7" s="15"/>
      <c r="P7" s="15"/>
    </row>
    <row r="8" spans="1:18" x14ac:dyDescent="0.35">
      <c r="B8" s="26" t="s">
        <v>117</v>
      </c>
      <c r="D8">
        <f>D7+($K7*0.4066)</f>
        <v>16.522377250428008</v>
      </c>
      <c r="E8">
        <f>E7+($K7*0.0288)</f>
        <v>4.2123032275289019</v>
      </c>
      <c r="F8">
        <f>F7+($K7*0.0345)</f>
        <v>3.5474844647644508</v>
      </c>
      <c r="G8">
        <f t="shared" ref="G8" si="4">G7+($K7*0)</f>
        <v>5.3800435702226901</v>
      </c>
      <c r="H8" s="13"/>
      <c r="I8">
        <f>I7+($K7*0.1298)</f>
        <v>3.4070149396351797</v>
      </c>
      <c r="J8" s="13"/>
      <c r="K8" s="13"/>
      <c r="L8" s="15"/>
      <c r="M8" s="15"/>
      <c r="N8" s="15"/>
      <c r="O8" s="15"/>
      <c r="P8" s="15"/>
    </row>
    <row r="9" spans="1:18" x14ac:dyDescent="0.35">
      <c r="B9" s="26" t="s">
        <v>79</v>
      </c>
      <c r="D9">
        <f>D8+($I8*0.2936)</f>
        <v>17.522676836704896</v>
      </c>
      <c r="E9">
        <f>E8+($I8*0)</f>
        <v>4.2123032275289019</v>
      </c>
      <c r="F9">
        <f>F8+($I8*0.058)</f>
        <v>3.7450913312632914</v>
      </c>
      <c r="G9">
        <f>G8+($I8*0)</f>
        <v>5.3800435702226901</v>
      </c>
      <c r="H9" s="13"/>
      <c r="I9" s="13"/>
      <c r="J9" s="13"/>
      <c r="K9" s="13"/>
      <c r="L9" s="15"/>
      <c r="M9" s="15"/>
      <c r="N9" s="15"/>
      <c r="O9" s="15"/>
      <c r="P9" s="15"/>
    </row>
    <row r="10" spans="1:18" x14ac:dyDescent="0.35">
      <c r="B10" s="26" t="s">
        <v>85</v>
      </c>
      <c r="D10">
        <f>D9+($F9*0.0411)</f>
        <v>17.676600090419818</v>
      </c>
      <c r="E10">
        <f>E9+($F9*0.3462)</f>
        <v>5.5088538464122534</v>
      </c>
      <c r="F10" s="13"/>
      <c r="G10">
        <f>G9+($F9*0.1365)</f>
        <v>5.8912485369401297</v>
      </c>
      <c r="H10" s="13"/>
      <c r="I10" s="13"/>
      <c r="J10" s="13"/>
      <c r="K10" s="13"/>
      <c r="L10" s="15"/>
      <c r="M10" s="15"/>
      <c r="N10" s="15"/>
      <c r="O10" s="15"/>
      <c r="P10" s="15"/>
    </row>
    <row r="11" spans="1:18" x14ac:dyDescent="0.35">
      <c r="B11" s="26" t="s">
        <v>118</v>
      </c>
      <c r="D11">
        <f>D10+($E10*0.0993)</f>
        <v>18.223629277368556</v>
      </c>
      <c r="E11" s="13"/>
      <c r="F11" s="13"/>
      <c r="G11">
        <f>G10+($E10*0.5255)</f>
        <v>8.7861512332297682</v>
      </c>
      <c r="H11" s="13"/>
      <c r="I11" s="13"/>
      <c r="J11" s="13"/>
      <c r="K11" s="13"/>
      <c r="L11" s="15"/>
      <c r="M11" s="15"/>
      <c r="N11" s="15"/>
      <c r="O11" s="15"/>
      <c r="P11" s="15"/>
    </row>
    <row r="12" spans="1:18" x14ac:dyDescent="0.35">
      <c r="B12" s="26" t="s">
        <v>119</v>
      </c>
      <c r="D12">
        <f>D11+(G11*0.139)</f>
        <v>19.444904298787492</v>
      </c>
      <c r="E12" s="13"/>
      <c r="F12" s="13"/>
      <c r="G12" s="13"/>
      <c r="H12" s="13"/>
      <c r="I12" s="13"/>
      <c r="J12" s="13"/>
      <c r="K12" s="13"/>
      <c r="L12" s="15"/>
      <c r="M12" s="15"/>
      <c r="N12" s="15"/>
      <c r="O12" s="15"/>
      <c r="P12" s="15"/>
    </row>
    <row r="13" spans="1:18" x14ac:dyDescent="0.35">
      <c r="B13" s="26"/>
      <c r="C13" t="s">
        <v>56</v>
      </c>
      <c r="D13" s="11">
        <f>D12-C2</f>
        <v>-0.55509570121250817</v>
      </c>
      <c r="E13" s="13"/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"/>
    </row>
    <row r="14" spans="1:18" x14ac:dyDescent="0.35">
      <c r="L14" s="15"/>
      <c r="M14" s="15"/>
      <c r="N14" s="15"/>
      <c r="O14" s="15"/>
      <c r="P14" s="15"/>
    </row>
    <row r="15" spans="1:18" x14ac:dyDescent="0.35">
      <c r="A15" t="s">
        <v>5</v>
      </c>
      <c r="B15">
        <v>4</v>
      </c>
      <c r="C15">
        <f>100/(B15+1)</f>
        <v>20</v>
      </c>
      <c r="D15" s="6">
        <v>0.21228152156356001</v>
      </c>
      <c r="E15" s="6">
        <v>0.21221064852204813</v>
      </c>
      <c r="F15" s="6">
        <v>5.7795150218058471E-2</v>
      </c>
      <c r="G15" s="6">
        <v>0.42334190760781781</v>
      </c>
      <c r="H15" s="6">
        <v>2.6960612178969473E-2</v>
      </c>
      <c r="I15" s="6">
        <v>1.5827689387821028E-2</v>
      </c>
      <c r="J15" s="6">
        <v>1.6814440316588599E-2</v>
      </c>
      <c r="K15" s="6">
        <v>1.6417057018252301E-2</v>
      </c>
      <c r="L15" s="9">
        <v>8.6617670812469717E-3</v>
      </c>
      <c r="M15" s="9">
        <v>1.8575351316427072E-3</v>
      </c>
      <c r="N15" s="9">
        <v>2.8266838959780326E-3</v>
      </c>
      <c r="O15" s="9">
        <v>3.9169762558552736E-3</v>
      </c>
      <c r="P15" s="9">
        <v>5.4514617993862058E-4</v>
      </c>
      <c r="Q15" s="6">
        <v>5.4514617993862058E-4</v>
      </c>
      <c r="R15" s="6">
        <v>0</v>
      </c>
    </row>
    <row r="16" spans="1:18" x14ac:dyDescent="0.35">
      <c r="A16" t="s">
        <v>78</v>
      </c>
      <c r="B16" s="26"/>
      <c r="C16" t="s">
        <v>49</v>
      </c>
      <c r="D16">
        <f>D15*100</f>
        <v>21.228152156356</v>
      </c>
      <c r="E16">
        <f t="shared" ref="E16:K16" si="5">E15*100</f>
        <v>21.221064852204812</v>
      </c>
      <c r="F16">
        <f t="shared" si="5"/>
        <v>5.7795150218058469</v>
      </c>
      <c r="G16" s="11">
        <f>(G15*100)-C15</f>
        <v>22.33419076078178</v>
      </c>
      <c r="H16">
        <f t="shared" si="5"/>
        <v>2.6960612178969474</v>
      </c>
      <c r="I16">
        <f t="shared" si="5"/>
        <v>1.5827689387821027</v>
      </c>
      <c r="J16">
        <f t="shared" si="5"/>
        <v>1.6814440316588599</v>
      </c>
      <c r="K16">
        <f t="shared" si="5"/>
        <v>1.6417057018252301</v>
      </c>
    </row>
    <row r="17" spans="1:18" x14ac:dyDescent="0.35">
      <c r="B17" s="26"/>
      <c r="C17" t="s">
        <v>49</v>
      </c>
      <c r="D17">
        <f>D16</f>
        <v>21.228152156356</v>
      </c>
      <c r="E17">
        <f t="shared" ref="E17:K19" si="6">E16</f>
        <v>21.221064852204812</v>
      </c>
      <c r="F17">
        <f t="shared" si="6"/>
        <v>5.7795150218058469</v>
      </c>
      <c r="G17" s="11">
        <f>G16-C15</f>
        <v>2.3341907607817802</v>
      </c>
      <c r="H17">
        <f t="shared" si="6"/>
        <v>2.6960612178969474</v>
      </c>
      <c r="I17">
        <f t="shared" si="6"/>
        <v>1.5827689387821027</v>
      </c>
      <c r="J17">
        <f t="shared" si="6"/>
        <v>1.6814440316588599</v>
      </c>
      <c r="K17">
        <f t="shared" si="6"/>
        <v>1.6417057018252301</v>
      </c>
    </row>
    <row r="18" spans="1:18" x14ac:dyDescent="0.35">
      <c r="B18" s="26"/>
      <c r="C18" t="s">
        <v>56</v>
      </c>
      <c r="D18" s="11">
        <f>D17-C15</f>
        <v>1.2281521563559998</v>
      </c>
      <c r="E18">
        <f t="shared" si="6"/>
        <v>21.221064852204812</v>
      </c>
      <c r="F18">
        <f t="shared" si="6"/>
        <v>5.7795150218058469</v>
      </c>
      <c r="G18">
        <f t="shared" si="6"/>
        <v>2.3341907607817802</v>
      </c>
      <c r="H18">
        <f t="shared" si="6"/>
        <v>2.6960612178969474</v>
      </c>
      <c r="I18">
        <f t="shared" si="6"/>
        <v>1.5827689387821027</v>
      </c>
      <c r="J18">
        <f t="shared" si="6"/>
        <v>1.6814440316588599</v>
      </c>
      <c r="K18">
        <f t="shared" si="6"/>
        <v>1.6417057018252301</v>
      </c>
    </row>
    <row r="19" spans="1:18" x14ac:dyDescent="0.35">
      <c r="B19" s="26"/>
      <c r="C19" t="s">
        <v>26</v>
      </c>
      <c r="D19">
        <f>D18</f>
        <v>1.2281521563559998</v>
      </c>
      <c r="E19" s="11">
        <f>E18-C15</f>
        <v>1.2210648522048118</v>
      </c>
      <c r="F19">
        <f t="shared" si="6"/>
        <v>5.7795150218058469</v>
      </c>
      <c r="G19">
        <f t="shared" si="6"/>
        <v>2.3341907607817802</v>
      </c>
      <c r="H19">
        <f t="shared" si="6"/>
        <v>2.6960612178969474</v>
      </c>
      <c r="I19">
        <f t="shared" si="6"/>
        <v>1.5827689387821027</v>
      </c>
      <c r="J19">
        <f t="shared" si="6"/>
        <v>1.6814440316588599</v>
      </c>
      <c r="K19">
        <f t="shared" si="6"/>
        <v>1.6417057018252301</v>
      </c>
    </row>
    <row r="20" spans="1:18" x14ac:dyDescent="0.35">
      <c r="L20" s="15"/>
      <c r="M20" s="15"/>
      <c r="N20" s="15"/>
      <c r="O20" s="15"/>
      <c r="P20" s="15"/>
    </row>
    <row r="21" spans="1:18" x14ac:dyDescent="0.35">
      <c r="A21" t="s">
        <v>6</v>
      </c>
      <c r="B21">
        <v>4</v>
      </c>
      <c r="C21">
        <f>100/(B21+1)</f>
        <v>20</v>
      </c>
      <c r="D21" s="6">
        <v>0.17889543642002656</v>
      </c>
      <c r="E21" s="6">
        <v>0.48377209127159942</v>
      </c>
      <c r="F21" s="6">
        <v>3.0009937970757641E-2</v>
      </c>
      <c r="G21" s="6">
        <v>0.16833282454585735</v>
      </c>
      <c r="H21" s="6">
        <v>1.7117352680549404E-2</v>
      </c>
      <c r="I21" s="6">
        <v>2.6642184315463006E-2</v>
      </c>
      <c r="J21" s="6">
        <v>1.468422684980062E-2</v>
      </c>
      <c r="K21" s="6">
        <v>4.485587505538325E-2</v>
      </c>
      <c r="L21" s="9">
        <v>1.648205582631812E-2</v>
      </c>
      <c r="M21" s="9">
        <v>5.1174124944616747E-3</v>
      </c>
      <c r="N21" s="9">
        <v>3.5888347363757199E-3</v>
      </c>
      <c r="O21" s="9">
        <v>8.3074878156845378E-3</v>
      </c>
      <c r="P21" s="9">
        <v>2.1931767833407176E-3</v>
      </c>
      <c r="Q21" s="6">
        <v>0</v>
      </c>
      <c r="R21" s="6">
        <v>0</v>
      </c>
    </row>
    <row r="22" spans="1:18" x14ac:dyDescent="0.35">
      <c r="A22" s="2" t="s">
        <v>93</v>
      </c>
      <c r="C22" t="s">
        <v>26</v>
      </c>
      <c r="D22" s="27">
        <f>D21*100</f>
        <v>17.889543642002657</v>
      </c>
      <c r="E22" s="28">
        <f>(E21*100)-C21</f>
        <v>28.377209127159944</v>
      </c>
      <c r="F22" s="27">
        <f t="shared" ref="F22:K22" si="7">F21*100</f>
        <v>3.0009937970757643</v>
      </c>
      <c r="G22" s="27">
        <f t="shared" si="7"/>
        <v>16.833282454585735</v>
      </c>
      <c r="H22" s="27">
        <f t="shared" si="7"/>
        <v>1.7117352680549405</v>
      </c>
      <c r="I22" s="27">
        <f t="shared" si="7"/>
        <v>2.6642184315463004</v>
      </c>
      <c r="J22" s="27">
        <f t="shared" si="7"/>
        <v>1.4684226849800621</v>
      </c>
      <c r="K22" s="27">
        <f t="shared" si="7"/>
        <v>4.4855875055383247</v>
      </c>
      <c r="L22" s="16"/>
      <c r="M22" s="16"/>
      <c r="N22" s="16"/>
      <c r="O22" s="16"/>
      <c r="P22" s="16"/>
      <c r="Q22" s="6"/>
      <c r="R22" s="6"/>
    </row>
    <row r="23" spans="1:18" x14ac:dyDescent="0.35">
      <c r="C23" t="s">
        <v>26</v>
      </c>
      <c r="D23" s="27">
        <f>D22</f>
        <v>17.889543642002657</v>
      </c>
      <c r="E23" s="28">
        <f>E22-C21</f>
        <v>8.3772091271599436</v>
      </c>
      <c r="F23" s="27">
        <f t="shared" ref="F23:K23" si="8">F22</f>
        <v>3.0009937970757643</v>
      </c>
      <c r="G23" s="27">
        <f t="shared" si="8"/>
        <v>16.833282454585735</v>
      </c>
      <c r="H23" s="27">
        <f t="shared" si="8"/>
        <v>1.7117352680549405</v>
      </c>
      <c r="I23" s="27">
        <f t="shared" si="8"/>
        <v>2.6642184315463004</v>
      </c>
      <c r="J23" s="27">
        <f t="shared" si="8"/>
        <v>1.4684226849800621</v>
      </c>
      <c r="K23" s="27">
        <f t="shared" si="8"/>
        <v>4.4855875055383247</v>
      </c>
      <c r="L23" s="16"/>
      <c r="M23" s="16"/>
      <c r="N23" s="16"/>
      <c r="O23" s="16"/>
      <c r="P23" s="16"/>
      <c r="Q23" s="6"/>
      <c r="R23" s="6"/>
    </row>
    <row r="24" spans="1:18" x14ac:dyDescent="0.35">
      <c r="A24" s="15"/>
      <c r="B24" t="s">
        <v>71</v>
      </c>
      <c r="D24" s="27">
        <f>D23+($J23*0)</f>
        <v>17.889543642002657</v>
      </c>
      <c r="E24" s="27">
        <f t="shared" ref="E24:H24" si="9">E23+($J23*0)</f>
        <v>8.3772091271599436</v>
      </c>
      <c r="F24" s="27">
        <f t="shared" si="9"/>
        <v>3.0009937970757643</v>
      </c>
      <c r="G24" s="27">
        <f>G23+($J23*0.152)</f>
        <v>17.056482702702706</v>
      </c>
      <c r="H24" s="27">
        <f t="shared" si="9"/>
        <v>1.7117352680549405</v>
      </c>
      <c r="I24" s="27">
        <f>I23+($J23*0.3052)</f>
        <v>3.1123810350022154</v>
      </c>
      <c r="J24" s="29"/>
      <c r="K24" s="27">
        <f>K23+($J23*0.2892)</f>
        <v>4.9102553460345586</v>
      </c>
      <c r="L24" s="16"/>
      <c r="M24" s="16"/>
      <c r="N24" s="16"/>
      <c r="O24" s="16"/>
      <c r="P24" s="16"/>
      <c r="Q24" s="6"/>
      <c r="R24" s="6"/>
    </row>
    <row r="25" spans="1:18" x14ac:dyDescent="0.35">
      <c r="B25" t="s">
        <v>100</v>
      </c>
      <c r="D25" s="27">
        <f>D24+($H24*0)</f>
        <v>17.889543642002657</v>
      </c>
      <c r="E25" s="27">
        <f>E24+($H24*0.2754)</f>
        <v>8.848621019982275</v>
      </c>
      <c r="F25" s="27">
        <f>F24+($H24*0.0436)</f>
        <v>3.0756254547629598</v>
      </c>
      <c r="G25" s="27">
        <f>G24+($H24*0.4247)</f>
        <v>17.783456671045638</v>
      </c>
      <c r="H25" s="29"/>
      <c r="I25" s="27">
        <f>I24+($H24*0.0179)</f>
        <v>3.1430210963003988</v>
      </c>
      <c r="J25" s="29"/>
      <c r="K25" s="27">
        <f t="shared" ref="K25" si="10">K24+($H24*0)</f>
        <v>4.9102553460345586</v>
      </c>
      <c r="L25" s="16"/>
      <c r="M25" s="16"/>
      <c r="N25" s="16"/>
      <c r="O25" s="16"/>
      <c r="P25" s="16"/>
      <c r="Q25" s="6"/>
      <c r="R25" s="6"/>
    </row>
    <row r="26" spans="1:18" x14ac:dyDescent="0.35">
      <c r="B26" t="s">
        <v>85</v>
      </c>
      <c r="D26" s="27">
        <f>D25+($F25*0.0411)</f>
        <v>18.015951848193414</v>
      </c>
      <c r="E26" s="27">
        <f>E25+($F25*0.3462)</f>
        <v>9.9134025524212124</v>
      </c>
      <c r="F26" s="29"/>
      <c r="G26" s="27">
        <f>G25+($F25*0.1365)</f>
        <v>18.203279545620781</v>
      </c>
      <c r="H26" s="29"/>
      <c r="I26" s="27">
        <f>I25+($F25*0)</f>
        <v>3.1430210963003988</v>
      </c>
      <c r="J26" s="29"/>
      <c r="K26" s="27">
        <f>K25+($F25*0.0113)</f>
        <v>4.9450099136733803</v>
      </c>
      <c r="L26" s="16"/>
      <c r="M26" s="16"/>
      <c r="N26" s="16"/>
      <c r="O26" s="16"/>
      <c r="P26" s="16"/>
      <c r="Q26" s="6"/>
      <c r="R26" s="6"/>
    </row>
    <row r="27" spans="1:18" x14ac:dyDescent="0.35">
      <c r="B27" t="s">
        <v>79</v>
      </c>
      <c r="D27" s="27">
        <f>D26+($I26*0.2936)</f>
        <v>18.93874284206721</v>
      </c>
      <c r="E27" s="27">
        <f>E26+($I26*0)</f>
        <v>9.9134025524212124</v>
      </c>
      <c r="F27" s="29"/>
      <c r="G27" s="27">
        <f>G26+($I26*0)</f>
        <v>18.203279545620781</v>
      </c>
      <c r="H27" s="29"/>
      <c r="I27" s="29"/>
      <c r="J27" s="29"/>
      <c r="K27" s="27">
        <f>K26+($I26*0.1386)</f>
        <v>5.3806326376206153</v>
      </c>
      <c r="L27" s="16"/>
      <c r="M27" s="16"/>
      <c r="N27" s="16"/>
      <c r="O27" s="16"/>
      <c r="P27" s="16"/>
      <c r="Q27" s="6"/>
      <c r="R27" s="6"/>
    </row>
    <row r="28" spans="1:18" x14ac:dyDescent="0.35">
      <c r="B28" t="s">
        <v>117</v>
      </c>
      <c r="D28" s="27">
        <f>D27+($K27*0.4066)</f>
        <v>21.126508072523752</v>
      </c>
      <c r="E28" s="27">
        <f>E27+($K27*0.0288)</f>
        <v>10.068364772384687</v>
      </c>
      <c r="F28" s="29"/>
      <c r="G28" s="27">
        <f>G27+($K27*0)</f>
        <v>18.203279545620781</v>
      </c>
      <c r="H28" s="29"/>
      <c r="I28" s="29"/>
      <c r="J28" s="29"/>
      <c r="K28" s="29"/>
      <c r="L28" s="16"/>
      <c r="M28" s="16"/>
      <c r="N28" s="16"/>
      <c r="O28" s="16"/>
      <c r="P28" s="16"/>
      <c r="Q28" s="6"/>
      <c r="R28" s="6"/>
    </row>
    <row r="29" spans="1:18" x14ac:dyDescent="0.35">
      <c r="C29" t="s">
        <v>56</v>
      </c>
      <c r="D29" s="28">
        <f>D28-C21</f>
        <v>1.1265080725237517</v>
      </c>
      <c r="E29" s="27">
        <f>E28</f>
        <v>10.068364772384687</v>
      </c>
      <c r="F29" s="29"/>
      <c r="G29" s="27">
        <f>G28</f>
        <v>18.203279545620781</v>
      </c>
      <c r="H29" s="29"/>
      <c r="I29" s="29"/>
      <c r="J29" s="29"/>
      <c r="K29" s="29"/>
      <c r="L29" s="16"/>
      <c r="M29" s="16"/>
      <c r="N29" s="16"/>
      <c r="O29" s="16"/>
      <c r="P29" s="16"/>
      <c r="Q29" s="6"/>
      <c r="R29" s="6"/>
    </row>
    <row r="30" spans="1:18" x14ac:dyDescent="0.35">
      <c r="B30" t="s">
        <v>96</v>
      </c>
      <c r="D30" s="29"/>
      <c r="E30" s="27">
        <f>E29+($D29*0.1136)</f>
        <v>10.196336089423385</v>
      </c>
      <c r="F30" s="29"/>
      <c r="G30" s="27">
        <f>G29+($D29*0.1648)</f>
        <v>18.388928075972697</v>
      </c>
      <c r="H30" s="29"/>
      <c r="I30" s="29"/>
      <c r="J30" s="29"/>
      <c r="K30" s="29"/>
      <c r="L30" s="16"/>
      <c r="M30" s="16"/>
      <c r="N30" s="16"/>
      <c r="O30" s="16"/>
      <c r="P30" s="16"/>
      <c r="Q30" s="6"/>
      <c r="R30" s="6"/>
    </row>
    <row r="31" spans="1:18" x14ac:dyDescent="0.35">
      <c r="B31" t="s">
        <v>120</v>
      </c>
      <c r="D31" s="29"/>
      <c r="E31" s="29"/>
      <c r="F31" s="29"/>
      <c r="G31" s="27">
        <f>G30+(E30*0.4211)</f>
        <v>22.682605203228881</v>
      </c>
      <c r="H31" s="29"/>
      <c r="I31" s="29"/>
      <c r="J31" s="29"/>
      <c r="K31" s="29"/>
      <c r="L31" s="16"/>
      <c r="M31" s="16"/>
      <c r="N31" s="16"/>
      <c r="O31" s="16"/>
      <c r="P31" s="16"/>
      <c r="Q31" s="6"/>
      <c r="R31" s="6"/>
    </row>
    <row r="32" spans="1:18" x14ac:dyDescent="0.35">
      <c r="C32" t="s">
        <v>49</v>
      </c>
      <c r="D32" s="29"/>
      <c r="E32" s="29"/>
      <c r="F32" s="29"/>
      <c r="G32" s="28">
        <f>G31-C21</f>
        <v>2.6826052032288814</v>
      </c>
      <c r="H32" s="29"/>
      <c r="I32" s="29"/>
      <c r="J32" s="29"/>
      <c r="K32" s="29"/>
      <c r="L32" s="16"/>
      <c r="M32" s="16"/>
      <c r="N32" s="16"/>
      <c r="O32" s="16"/>
      <c r="P32" s="16"/>
      <c r="Q32" s="6"/>
      <c r="R32" s="6"/>
    </row>
    <row r="33" spans="1:18" x14ac:dyDescent="0.35">
      <c r="L33" s="15"/>
      <c r="M33" s="15"/>
      <c r="N33" s="15"/>
      <c r="O33" s="15"/>
      <c r="P33" s="15"/>
    </row>
    <row r="34" spans="1:18" x14ac:dyDescent="0.35">
      <c r="A34" t="s">
        <v>7</v>
      </c>
      <c r="B34">
        <v>4</v>
      </c>
      <c r="C34">
        <f>100/(B34+1)</f>
        <v>20</v>
      </c>
      <c r="D34" s="6">
        <v>0.36336639757997857</v>
      </c>
      <c r="E34" s="6">
        <v>0.2208423925851668</v>
      </c>
      <c r="F34" s="6">
        <v>0.15486988163703194</v>
      </c>
      <c r="G34" s="6">
        <v>0.11733119295098401</v>
      </c>
      <c r="H34" s="6">
        <v>3.1940496667194292E-2</v>
      </c>
      <c r="I34" s="6">
        <v>1.9348690620658117E-2</v>
      </c>
      <c r="J34" s="6">
        <v>9.6149246381399614E-3</v>
      </c>
      <c r="K34" s="6">
        <v>6.494136020682742E-2</v>
      </c>
      <c r="L34" s="9">
        <v>3.2009004731001251E-3</v>
      </c>
      <c r="M34" s="9">
        <v>1.8818480803390843E-3</v>
      </c>
      <c r="N34" s="9">
        <v>2.1984206546017339E-3</v>
      </c>
      <c r="O34" s="9">
        <v>4.5199528658611656E-3</v>
      </c>
      <c r="P34" s="9">
        <v>1.0552419142088323E-3</v>
      </c>
      <c r="Q34" s="6">
        <v>0</v>
      </c>
      <c r="R34" s="6">
        <v>4.8365254401238154E-3</v>
      </c>
    </row>
    <row r="35" spans="1:18" x14ac:dyDescent="0.35">
      <c r="A35" t="s">
        <v>58</v>
      </c>
      <c r="B35" s="26"/>
      <c r="C35" t="s">
        <v>56</v>
      </c>
      <c r="D35" s="11">
        <f>(D34*100)-C34</f>
        <v>16.336639757997858</v>
      </c>
      <c r="E35">
        <f t="shared" ref="E35:K35" si="11">E34*100</f>
        <v>22.084239258516682</v>
      </c>
      <c r="F35">
        <f t="shared" si="11"/>
        <v>15.486988163703193</v>
      </c>
      <c r="G35">
        <f t="shared" si="11"/>
        <v>11.733119295098401</v>
      </c>
      <c r="H35">
        <f t="shared" si="11"/>
        <v>3.1940496667194291</v>
      </c>
      <c r="I35">
        <f t="shared" si="11"/>
        <v>1.9348690620658118</v>
      </c>
      <c r="J35">
        <f t="shared" si="11"/>
        <v>0.96149246381399611</v>
      </c>
      <c r="K35">
        <f t="shared" si="11"/>
        <v>6.4941360206827419</v>
      </c>
    </row>
    <row r="36" spans="1:18" x14ac:dyDescent="0.35">
      <c r="B36" s="26"/>
      <c r="C36" t="s">
        <v>26</v>
      </c>
      <c r="D36">
        <f>D35</f>
        <v>16.336639757997858</v>
      </c>
      <c r="E36" s="11">
        <f>E35-C34</f>
        <v>2.084239258516682</v>
      </c>
      <c r="F36">
        <f t="shared" ref="F36:K36" si="12">F35</f>
        <v>15.486988163703193</v>
      </c>
      <c r="G36">
        <f t="shared" si="12"/>
        <v>11.733119295098401</v>
      </c>
      <c r="H36">
        <f t="shared" si="12"/>
        <v>3.1940496667194291</v>
      </c>
      <c r="I36">
        <f t="shared" si="12"/>
        <v>1.9348690620658118</v>
      </c>
      <c r="J36">
        <f t="shared" si="12"/>
        <v>0.96149246381399611</v>
      </c>
      <c r="K36">
        <f t="shared" si="12"/>
        <v>6.4941360206827419</v>
      </c>
    </row>
    <row r="37" spans="1:18" x14ac:dyDescent="0.35">
      <c r="B37" s="26" t="s">
        <v>71</v>
      </c>
      <c r="D37">
        <f>D36+($J36*0)</f>
        <v>16.336639757997858</v>
      </c>
      <c r="E37">
        <f t="shared" ref="E37:H37" si="13">E36+($J36*0)</f>
        <v>2.084239258516682</v>
      </c>
      <c r="F37">
        <f t="shared" si="13"/>
        <v>15.486988163703193</v>
      </c>
      <c r="G37">
        <f>G36+($J36*0.152)</f>
        <v>11.879266149598129</v>
      </c>
      <c r="H37">
        <f t="shared" si="13"/>
        <v>3.1940496667194291</v>
      </c>
      <c r="I37">
        <f>I36+($J36*0.3052)</f>
        <v>2.2283165620218433</v>
      </c>
      <c r="J37" s="13"/>
      <c r="K37">
        <f>K36+($J36*0.2892)</f>
        <v>6.7721996412177496</v>
      </c>
    </row>
    <row r="38" spans="1:18" x14ac:dyDescent="0.35">
      <c r="B38" s="26" t="s">
        <v>121</v>
      </c>
      <c r="D38">
        <f>D37+($E37*0.043)</f>
        <v>16.426262046114076</v>
      </c>
      <c r="E38" s="13"/>
      <c r="F38">
        <f>F37+($E37*0.173)</f>
        <v>15.84756155542658</v>
      </c>
      <c r="G38">
        <f>G37+($E37*0.3574)</f>
        <v>12.624173260591991</v>
      </c>
      <c r="H38">
        <f>H37+($E37*0.1368)</f>
        <v>3.479173597284511</v>
      </c>
      <c r="I38">
        <f t="shared" ref="I38" si="14">I37+($E37*0)</f>
        <v>2.2283165620218433</v>
      </c>
      <c r="J38" s="13"/>
      <c r="K38">
        <f>K37+($E37*0.0365)</f>
        <v>6.8482743741536085</v>
      </c>
    </row>
    <row r="39" spans="1:18" x14ac:dyDescent="0.35">
      <c r="B39" s="26" t="s">
        <v>79</v>
      </c>
      <c r="D39">
        <f>D38+($I38*0.2936)</f>
        <v>17.080495788723688</v>
      </c>
      <c r="E39" s="13"/>
      <c r="F39">
        <f>F38+($I38*0.058)</f>
        <v>15.976803916023847</v>
      </c>
      <c r="G39">
        <f>G38+($I38*0)</f>
        <v>12.624173260591991</v>
      </c>
      <c r="H39">
        <f>H38+($I38*0.0726)</f>
        <v>3.6409493796872967</v>
      </c>
      <c r="I39" s="13"/>
      <c r="J39" s="13"/>
      <c r="K39">
        <f>K38+($I38*0.1386)</f>
        <v>7.157119049649836</v>
      </c>
    </row>
    <row r="40" spans="1:18" x14ac:dyDescent="0.35">
      <c r="B40" s="26" t="s">
        <v>100</v>
      </c>
      <c r="D40">
        <f>D39+($H39*0)</f>
        <v>17.080495788723688</v>
      </c>
      <c r="E40" s="13"/>
      <c r="F40">
        <f>F39+($H39*0.0436)</f>
        <v>16.135549308978213</v>
      </c>
      <c r="G40">
        <f>G39+($H39*0.4247)</f>
        <v>14.170484462145186</v>
      </c>
      <c r="H40" s="13"/>
      <c r="I40" s="13"/>
      <c r="J40" s="13"/>
      <c r="K40">
        <f>K39+($H39*0)</f>
        <v>7.157119049649836</v>
      </c>
    </row>
    <row r="41" spans="1:18" x14ac:dyDescent="0.35">
      <c r="B41" s="26" t="s">
        <v>117</v>
      </c>
      <c r="D41">
        <f>D40+($K40*0.4066)</f>
        <v>19.990580394311312</v>
      </c>
      <c r="E41" s="13"/>
      <c r="F41">
        <f>F40+($K40*0.0345)</f>
        <v>16.382469916191134</v>
      </c>
      <c r="G41">
        <f>G40+($K40*0)</f>
        <v>14.170484462145186</v>
      </c>
      <c r="H41" s="13"/>
      <c r="I41" s="13"/>
      <c r="J41" s="13"/>
    </row>
    <row r="42" spans="1:18" x14ac:dyDescent="0.35">
      <c r="B42" s="26" t="s">
        <v>122</v>
      </c>
      <c r="D42">
        <f>D41+($G41*0.1149)</f>
        <v>21.618769059011793</v>
      </c>
      <c r="E42" s="13"/>
      <c r="F42">
        <f>F41+($G41*0.0593)</f>
        <v>17.222779644796343</v>
      </c>
      <c r="G42" s="13"/>
      <c r="H42" s="13"/>
      <c r="I42" s="13"/>
      <c r="J42" s="13"/>
    </row>
    <row r="43" spans="1:18" x14ac:dyDescent="0.35">
      <c r="B43" s="26"/>
      <c r="C43" t="s">
        <v>56</v>
      </c>
      <c r="D43" s="11">
        <f>D42-C34</f>
        <v>1.6187690590117931</v>
      </c>
      <c r="E43" s="13"/>
      <c r="F43">
        <f>F42</f>
        <v>17.222779644796343</v>
      </c>
      <c r="G43" s="13"/>
      <c r="H43" s="13"/>
      <c r="I43" s="13"/>
      <c r="J43" s="13"/>
    </row>
    <row r="44" spans="1:18" x14ac:dyDescent="0.35">
      <c r="B44" s="26" t="s">
        <v>123</v>
      </c>
      <c r="D44" s="13"/>
      <c r="E44" s="13"/>
      <c r="F44">
        <f>F43+(D43*0.1277)</f>
        <v>17.429496453632151</v>
      </c>
      <c r="G44" s="13"/>
      <c r="H44" s="13"/>
      <c r="I44" s="13"/>
      <c r="J44" s="13"/>
    </row>
    <row r="45" spans="1:18" x14ac:dyDescent="0.35">
      <c r="B45" s="26"/>
      <c r="C45" t="s">
        <v>27</v>
      </c>
      <c r="D45" s="13"/>
      <c r="E45" s="13"/>
      <c r="F45" s="11">
        <f>F44-C34</f>
        <v>-2.5705035463678492</v>
      </c>
      <c r="G45" s="13"/>
      <c r="H45" s="13"/>
      <c r="I45" s="13"/>
      <c r="J45" s="13"/>
    </row>
    <row r="46" spans="1:18" x14ac:dyDescent="0.35">
      <c r="F46" s="11"/>
      <c r="L46" s="15"/>
      <c r="M46" s="15"/>
      <c r="N46" s="15"/>
      <c r="O46" s="15"/>
      <c r="P46" s="15"/>
    </row>
    <row r="47" spans="1:18" x14ac:dyDescent="0.35">
      <c r="L47" s="15"/>
      <c r="M47" s="15"/>
      <c r="N47" s="15"/>
      <c r="O47" s="15"/>
      <c r="P47" s="15"/>
    </row>
    <row r="48" spans="1:18" x14ac:dyDescent="0.35">
      <c r="A48" s="2" t="s">
        <v>8</v>
      </c>
      <c r="B48">
        <v>5</v>
      </c>
      <c r="C48">
        <v>16.666666666666668</v>
      </c>
      <c r="D48" s="6">
        <v>0.32240963982301885</v>
      </c>
      <c r="E48" s="6">
        <v>0.37538146660721911</v>
      </c>
      <c r="F48" s="6">
        <v>4.4216682015238942E-2</v>
      </c>
      <c r="G48" s="6">
        <v>0.11760956319739316</v>
      </c>
      <c r="H48" s="6">
        <v>2.9298560461217232E-2</v>
      </c>
      <c r="I48" s="6">
        <v>2.5427518740081104E-2</v>
      </c>
      <c r="J48" s="6">
        <v>8.2317795923689142E-3</v>
      </c>
      <c r="K48" s="6">
        <v>3.8187453462158523E-2</v>
      </c>
      <c r="L48" s="9">
        <v>5.9470299426042459E-3</v>
      </c>
      <c r="M48" s="9">
        <v>9.2248115621326333E-3</v>
      </c>
      <c r="N48" s="9">
        <v>1.8255998893575824E-3</v>
      </c>
      <c r="O48" s="9">
        <v>4.6884724431228821E-3</v>
      </c>
      <c r="P48" s="9">
        <v>1.2032362907129521E-3</v>
      </c>
      <c r="Q48" s="9">
        <v>1.3332411313187194E-2</v>
      </c>
      <c r="R48" s="9">
        <v>1.2032362907129521E-3</v>
      </c>
    </row>
    <row r="49" spans="1:18" x14ac:dyDescent="0.35">
      <c r="A49" s="2" t="s">
        <v>63</v>
      </c>
      <c r="C49" s="2" t="s">
        <v>26</v>
      </c>
      <c r="D49">
        <f>D48*100</f>
        <v>32.240963982301885</v>
      </c>
      <c r="E49" s="11">
        <f>(E48*100)-C48</f>
        <v>20.871479994055246</v>
      </c>
      <c r="F49">
        <f t="shared" ref="F49:K49" si="15">F48*100</f>
        <v>4.4216682015238939</v>
      </c>
      <c r="G49">
        <f t="shared" si="15"/>
        <v>11.760956319739316</v>
      </c>
      <c r="H49">
        <f t="shared" si="15"/>
        <v>2.9298560461217233</v>
      </c>
      <c r="I49">
        <f t="shared" si="15"/>
        <v>2.5427518740081103</v>
      </c>
      <c r="J49">
        <f t="shared" si="15"/>
        <v>0.82317795923689141</v>
      </c>
      <c r="K49">
        <f t="shared" si="15"/>
        <v>3.8187453462158523</v>
      </c>
    </row>
    <row r="50" spans="1:18" x14ac:dyDescent="0.35">
      <c r="C50" s="2" t="s">
        <v>56</v>
      </c>
      <c r="D50" s="11">
        <f>D49-C48</f>
        <v>15.574297315635217</v>
      </c>
      <c r="E50">
        <f t="shared" ref="E50:K51" si="16">E49</f>
        <v>20.871479994055246</v>
      </c>
      <c r="F50">
        <f t="shared" si="16"/>
        <v>4.4216682015238939</v>
      </c>
      <c r="G50">
        <f t="shared" si="16"/>
        <v>11.760956319739316</v>
      </c>
      <c r="H50">
        <f t="shared" si="16"/>
        <v>2.9298560461217233</v>
      </c>
      <c r="I50">
        <f t="shared" si="16"/>
        <v>2.5427518740081103</v>
      </c>
      <c r="J50">
        <f t="shared" si="16"/>
        <v>0.82317795923689141</v>
      </c>
      <c r="K50">
        <f t="shared" si="16"/>
        <v>3.8187453462158523</v>
      </c>
    </row>
    <row r="51" spans="1:18" x14ac:dyDescent="0.35">
      <c r="C51" s="2" t="s">
        <v>26</v>
      </c>
      <c r="D51">
        <f>D50</f>
        <v>15.574297315635217</v>
      </c>
      <c r="E51" s="11">
        <f>E50-C48</f>
        <v>4.2048133273885782</v>
      </c>
      <c r="F51">
        <f t="shared" si="16"/>
        <v>4.4216682015238939</v>
      </c>
      <c r="G51">
        <f t="shared" si="16"/>
        <v>11.760956319739316</v>
      </c>
      <c r="H51">
        <f t="shared" si="16"/>
        <v>2.9298560461217233</v>
      </c>
      <c r="I51">
        <f t="shared" si="16"/>
        <v>2.5427518740081103</v>
      </c>
      <c r="J51">
        <f t="shared" si="16"/>
        <v>0.82317795923689141</v>
      </c>
      <c r="K51">
        <f t="shared" si="16"/>
        <v>3.8187453462158523</v>
      </c>
    </row>
    <row r="52" spans="1:18" x14ac:dyDescent="0.35">
      <c r="B52" s="2" t="s">
        <v>52</v>
      </c>
      <c r="D52">
        <f>D51+($J51*0)</f>
        <v>15.574297315635217</v>
      </c>
      <c r="E52">
        <f t="shared" ref="E52:H52" si="17">E51+($J51*0)</f>
        <v>4.2048133273885782</v>
      </c>
      <c r="F52">
        <f t="shared" si="17"/>
        <v>4.4216682015238939</v>
      </c>
      <c r="G52">
        <f>G51+($J51*0.152)</f>
        <v>11.886079369543324</v>
      </c>
      <c r="H52">
        <f t="shared" si="17"/>
        <v>2.9298560461217233</v>
      </c>
      <c r="I52">
        <f>I51+($J51*0.3052)</f>
        <v>2.7939857871672098</v>
      </c>
      <c r="J52" s="13"/>
      <c r="K52">
        <f>K51+($J51*0.2892)</f>
        <v>4.056808412027161</v>
      </c>
    </row>
    <row r="53" spans="1:18" x14ac:dyDescent="0.35">
      <c r="B53" s="2" t="s">
        <v>50</v>
      </c>
      <c r="D53">
        <f>D52+($I52*0.2936)</f>
        <v>16.394611542747509</v>
      </c>
      <c r="E53">
        <f t="shared" ref="E53:G53" si="18">E52+($I52*0)</f>
        <v>4.2048133273885782</v>
      </c>
      <c r="F53">
        <f>F52+($I52*0.058)</f>
        <v>4.5837193771795919</v>
      </c>
      <c r="G53">
        <f t="shared" si="18"/>
        <v>11.886079369543324</v>
      </c>
      <c r="H53">
        <f>H52+($I52*0.0726)</f>
        <v>3.1326994142700628</v>
      </c>
      <c r="I53" s="13"/>
      <c r="J53" s="13"/>
      <c r="K53">
        <f>K52+($I52*0.1386)</f>
        <v>4.4440548421285362</v>
      </c>
    </row>
    <row r="54" spans="1:18" x14ac:dyDescent="0.35">
      <c r="B54" s="2" t="s">
        <v>64</v>
      </c>
      <c r="D54">
        <f>D53+($H53*0)</f>
        <v>16.394611542747509</v>
      </c>
      <c r="E54">
        <f>E53+($H53*0.2754)</f>
        <v>5.0675587460785536</v>
      </c>
      <c r="F54">
        <f>F53+($H53*0.0436)</f>
        <v>4.7203050716417669</v>
      </c>
      <c r="G54">
        <f>G53+($H53*0.4247)</f>
        <v>13.21653681078382</v>
      </c>
      <c r="H54" s="13"/>
      <c r="I54" s="13"/>
      <c r="J54" s="13"/>
      <c r="K54">
        <f t="shared" ref="K54" si="19">K53+($H53*0)</f>
        <v>4.4440548421285362</v>
      </c>
    </row>
    <row r="55" spans="1:18" x14ac:dyDescent="0.35">
      <c r="B55" s="2" t="s">
        <v>51</v>
      </c>
      <c r="D55">
        <f>D54+($K54*0.4066)</f>
        <v>18.201564241556973</v>
      </c>
      <c r="E55">
        <f>E54+($K54*0.0288)</f>
        <v>5.1955475255318557</v>
      </c>
      <c r="F55">
        <f>F54+($K54*0.0345)</f>
        <v>4.8736249636952014</v>
      </c>
      <c r="G55">
        <f t="shared" ref="G55" si="20">G54+($K54*0)</f>
        <v>13.21653681078382</v>
      </c>
      <c r="H55" s="13"/>
      <c r="I55" s="13"/>
      <c r="J55" s="13"/>
      <c r="K55" s="13"/>
    </row>
    <row r="56" spans="1:18" x14ac:dyDescent="0.35">
      <c r="C56" s="2" t="s">
        <v>56</v>
      </c>
      <c r="D56" s="11">
        <f>D55-C48</f>
        <v>1.5348975748903051</v>
      </c>
      <c r="E56">
        <f t="shared" ref="E56:G56" si="21">E55</f>
        <v>5.1955475255318557</v>
      </c>
      <c r="F56">
        <f t="shared" si="21"/>
        <v>4.8736249636952014</v>
      </c>
      <c r="G56">
        <f t="shared" si="21"/>
        <v>13.21653681078382</v>
      </c>
      <c r="H56" s="13"/>
      <c r="I56" s="13"/>
      <c r="J56" s="13"/>
      <c r="K56" s="13"/>
    </row>
    <row r="57" spans="1:18" x14ac:dyDescent="0.35">
      <c r="B57" s="2" t="s">
        <v>65</v>
      </c>
      <c r="D57" s="13"/>
      <c r="E57">
        <f>E56+($D56*((0.0985+0.1021)/2))</f>
        <v>5.3494977522933533</v>
      </c>
      <c r="F57">
        <f>F56+($D56*((0.1445+0.0214)/2))</f>
        <v>5.0009447175323523</v>
      </c>
      <c r="G57">
        <f>G56+($D56*((0.2051+0.2356)/2))</f>
        <v>13.554751491410899</v>
      </c>
      <c r="H57" s="13"/>
      <c r="I57" s="13"/>
      <c r="J57" s="13"/>
      <c r="K57" s="13"/>
    </row>
    <row r="58" spans="1:18" x14ac:dyDescent="0.35">
      <c r="B58" s="2" t="s">
        <v>54</v>
      </c>
      <c r="D58" s="13"/>
      <c r="E58">
        <f>E57+($F57*0.3462)</f>
        <v>7.080824813503054</v>
      </c>
      <c r="F58" s="13"/>
      <c r="G58">
        <f>G57+($F57*0.1365)</f>
        <v>14.237380445354065</v>
      </c>
      <c r="H58" s="13"/>
      <c r="I58" s="13"/>
      <c r="J58" s="13"/>
      <c r="K58" s="13"/>
    </row>
    <row r="59" spans="1:18" x14ac:dyDescent="0.35">
      <c r="C59" s="2" t="s">
        <v>49</v>
      </c>
      <c r="D59" s="13"/>
      <c r="E59">
        <f>E58+($F58*0.3462)</f>
        <v>7.080824813503054</v>
      </c>
      <c r="F59" s="13"/>
      <c r="G59" s="11">
        <f>G58+($F58*0.1365)</f>
        <v>14.237380445354065</v>
      </c>
      <c r="H59" s="13"/>
      <c r="I59" s="13"/>
      <c r="J59" s="13"/>
      <c r="K59" s="13"/>
    </row>
    <row r="62" spans="1:18" x14ac:dyDescent="0.35">
      <c r="A62" t="s">
        <v>9</v>
      </c>
      <c r="B62">
        <v>5</v>
      </c>
      <c r="C62">
        <v>16.666666666666668</v>
      </c>
      <c r="D62" s="6">
        <v>0.16457750688320499</v>
      </c>
      <c r="E62" s="6">
        <v>0.47849319061489964</v>
      </c>
      <c r="F62" s="6">
        <v>2.8784070867084316E-2</v>
      </c>
      <c r="G62" s="6">
        <v>0.22309136706436297</v>
      </c>
      <c r="H62" s="6">
        <v>1.6250217469374727E-2</v>
      </c>
      <c r="I62" s="6">
        <v>2.0278791748134552E-2</v>
      </c>
      <c r="J62" s="6">
        <v>1.1210715853317902E-2</v>
      </c>
      <c r="K62" s="6">
        <v>3.1318045967838472E-2</v>
      </c>
      <c r="L62" s="9">
        <v>8.1800407006903161E-3</v>
      </c>
      <c r="M62" s="9">
        <v>4.7484138701568172E-3</v>
      </c>
      <c r="N62" s="9">
        <v>3.4515781493156699E-3</v>
      </c>
      <c r="O62" s="9">
        <v>7.3221339930569411E-3</v>
      </c>
      <c r="P62" s="9">
        <v>2.2944016599497226E-3</v>
      </c>
      <c r="Q62">
        <v>0</v>
      </c>
      <c r="R62">
        <v>0</v>
      </c>
    </row>
    <row r="63" spans="1:18" x14ac:dyDescent="0.35">
      <c r="A63" s="2" t="s">
        <v>66</v>
      </c>
      <c r="C63" t="s">
        <v>26</v>
      </c>
      <c r="D63">
        <v>16.46</v>
      </c>
      <c r="E63" s="11">
        <f>47.85-C62</f>
        <v>31.183333333333334</v>
      </c>
      <c r="F63">
        <v>2.88</v>
      </c>
      <c r="G63">
        <v>22.31</v>
      </c>
      <c r="H63">
        <v>1.63</v>
      </c>
      <c r="I63">
        <v>2.0299999999999998</v>
      </c>
      <c r="J63">
        <v>1.1200000000000001</v>
      </c>
      <c r="K63">
        <v>3.13</v>
      </c>
      <c r="L63" s="8">
        <v>0.82</v>
      </c>
      <c r="M63" s="8">
        <v>0.47</v>
      </c>
      <c r="N63" s="8">
        <v>0.35</v>
      </c>
      <c r="O63" s="8">
        <v>0.73</v>
      </c>
      <c r="P63" s="8">
        <v>0.23</v>
      </c>
    </row>
    <row r="64" spans="1:18" x14ac:dyDescent="0.35">
      <c r="C64" s="2" t="s">
        <v>26</v>
      </c>
      <c r="D64">
        <v>16.46</v>
      </c>
      <c r="E64" s="11">
        <f>E63-C62</f>
        <v>14.516666666666666</v>
      </c>
      <c r="F64">
        <v>2.88</v>
      </c>
      <c r="G64">
        <v>22.31</v>
      </c>
      <c r="H64">
        <v>1.63</v>
      </c>
      <c r="I64">
        <v>2.0299999999999998</v>
      </c>
      <c r="J64">
        <v>1.1200000000000001</v>
      </c>
      <c r="K64">
        <v>3.13</v>
      </c>
      <c r="L64" s="8">
        <v>0.82</v>
      </c>
      <c r="M64" s="8">
        <v>0.47</v>
      </c>
      <c r="N64" s="8">
        <v>0.35</v>
      </c>
      <c r="O64" s="8">
        <v>0.73</v>
      </c>
      <c r="P64" s="8">
        <v>0.23</v>
      </c>
    </row>
    <row r="65" spans="1:18" x14ac:dyDescent="0.35">
      <c r="C65" s="2" t="s">
        <v>49</v>
      </c>
      <c r="D65">
        <v>16.46</v>
      </c>
      <c r="E65">
        <f>E64</f>
        <v>14.516666666666666</v>
      </c>
      <c r="F65">
        <v>2.88</v>
      </c>
      <c r="G65" s="11">
        <f>22.31-C62</f>
        <v>5.6433333333333309</v>
      </c>
      <c r="H65">
        <v>1.63</v>
      </c>
      <c r="I65">
        <v>2.0299999999999998</v>
      </c>
      <c r="J65">
        <v>1.1200000000000001</v>
      </c>
      <c r="K65">
        <v>3.13</v>
      </c>
      <c r="L65" s="8">
        <v>0.82</v>
      </c>
      <c r="M65" s="8">
        <v>0.47</v>
      </c>
      <c r="N65" s="8">
        <v>0.35</v>
      </c>
      <c r="O65" s="8">
        <v>0.73</v>
      </c>
      <c r="P65" s="8">
        <v>0.23</v>
      </c>
    </row>
    <row r="66" spans="1:18" x14ac:dyDescent="0.35">
      <c r="B66" s="2" t="s">
        <v>71</v>
      </c>
      <c r="C66" s="2"/>
      <c r="D66">
        <f>D65+(1.12*0)</f>
        <v>16.46</v>
      </c>
      <c r="E66">
        <f t="shared" ref="E66:F66" si="22">E65+(1.12*0)</f>
        <v>14.516666666666666</v>
      </c>
      <c r="F66">
        <f t="shared" si="22"/>
        <v>2.88</v>
      </c>
      <c r="G66">
        <f>G65+(1.12*0.152)</f>
        <v>5.8135733333333306</v>
      </c>
      <c r="H66">
        <f t="shared" ref="H66" si="23">H65+(1.12*0)</f>
        <v>1.63</v>
      </c>
      <c r="I66">
        <f>I65+(1.12*0.3052)</f>
        <v>2.3718239999999997</v>
      </c>
      <c r="J66" s="13"/>
      <c r="K66">
        <f>K65+(1.12*0.2892)</f>
        <v>3.4539040000000001</v>
      </c>
    </row>
    <row r="67" spans="1:18" x14ac:dyDescent="0.35">
      <c r="B67" s="2" t="s">
        <v>95</v>
      </c>
      <c r="D67">
        <f>D66+(1.63*0)</f>
        <v>16.46</v>
      </c>
      <c r="E67">
        <f>E66+(1.63*0.2754)</f>
        <v>14.965568666666666</v>
      </c>
      <c r="F67">
        <f>F66+(1.63*0.0436)</f>
        <v>2.9510679999999998</v>
      </c>
      <c r="G67">
        <f>G66+(1.63*0.4247)</f>
        <v>6.5058343333333308</v>
      </c>
      <c r="H67" s="13"/>
      <c r="I67">
        <f>I66+(1.63*0.0179)</f>
        <v>2.4010009999999995</v>
      </c>
      <c r="J67" s="13"/>
      <c r="K67">
        <f t="shared" ref="K67" si="24">K66+(1.63*0)</f>
        <v>3.4539040000000001</v>
      </c>
    </row>
    <row r="68" spans="1:18" x14ac:dyDescent="0.35">
      <c r="B68" s="2" t="s">
        <v>79</v>
      </c>
      <c r="D68" s="11">
        <f>D67+($I67*0.2936)</f>
        <v>17.164933893600001</v>
      </c>
      <c r="E68">
        <f t="shared" ref="E68:G68" si="25">E67+($I67*0)</f>
        <v>14.965568666666666</v>
      </c>
      <c r="F68">
        <f>F67+($I67*0.058)</f>
        <v>3.0903260579999996</v>
      </c>
      <c r="G68">
        <f t="shared" si="25"/>
        <v>6.5058343333333308</v>
      </c>
      <c r="H68" s="13"/>
      <c r="I68" s="13"/>
      <c r="J68" s="13"/>
      <c r="K68">
        <f>K67+($I67*0.1386)</f>
        <v>3.7866827386000002</v>
      </c>
    </row>
    <row r="69" spans="1:18" x14ac:dyDescent="0.35">
      <c r="C69" s="2" t="s">
        <v>56</v>
      </c>
      <c r="D69">
        <f>D68-C62</f>
        <v>0.49826722693333281</v>
      </c>
      <c r="E69">
        <v>14.965568666666666</v>
      </c>
      <c r="F69">
        <v>3.0903260579999996</v>
      </c>
      <c r="G69">
        <v>6.5058343333333308</v>
      </c>
      <c r="H69" s="13"/>
      <c r="I69" s="13"/>
      <c r="J69" s="13"/>
      <c r="K69">
        <v>3.7866827386000002</v>
      </c>
    </row>
    <row r="70" spans="1:18" x14ac:dyDescent="0.35">
      <c r="B70" s="2" t="s">
        <v>96</v>
      </c>
      <c r="D70" s="13"/>
      <c r="E70">
        <f>E69+($D69*0.1136)</f>
        <v>15.022171823646293</v>
      </c>
      <c r="F70">
        <f>F69+($D69*0.879)</f>
        <v>3.5283029504743992</v>
      </c>
      <c r="G70">
        <f>G69+($D69*0.1648)</f>
        <v>6.5879487723319441</v>
      </c>
      <c r="H70" s="13"/>
      <c r="I70" s="13"/>
      <c r="J70" s="13"/>
      <c r="K70">
        <f>K69+($D69*0.2655)</f>
        <v>3.9189726873508</v>
      </c>
    </row>
    <row r="71" spans="1:18" x14ac:dyDescent="0.35">
      <c r="B71" t="s">
        <v>85</v>
      </c>
      <c r="D71" s="13"/>
      <c r="E71">
        <f>E70+(F70*0.3462)</f>
        <v>16.24367030510053</v>
      </c>
      <c r="F71" s="13"/>
      <c r="G71">
        <f>G70+(F70*0.1365)</f>
        <v>7.0695621250717</v>
      </c>
      <c r="H71" s="13"/>
      <c r="I71" s="13"/>
      <c r="J71" s="13"/>
      <c r="K71">
        <f>K70+(F70*0.0113)</f>
        <v>3.9588425106911607</v>
      </c>
    </row>
    <row r="72" spans="1:18" x14ac:dyDescent="0.35">
      <c r="B72" t="s">
        <v>97</v>
      </c>
      <c r="C72" s="2" t="s">
        <v>26</v>
      </c>
      <c r="D72" s="13"/>
      <c r="E72" s="11">
        <f>E71+(K71*0.0288)</f>
        <v>16.357684969408435</v>
      </c>
      <c r="F72" s="13"/>
      <c r="G72">
        <f>G71+(K71*0)</f>
        <v>7.0695621250717</v>
      </c>
      <c r="H72" s="13"/>
      <c r="I72" s="13"/>
      <c r="J72" s="13"/>
      <c r="K72" s="13"/>
    </row>
    <row r="75" spans="1:18" x14ac:dyDescent="0.35">
      <c r="A75" t="s">
        <v>10</v>
      </c>
      <c r="B75">
        <v>5</v>
      </c>
      <c r="C75">
        <v>16.666666666666668</v>
      </c>
      <c r="D75" s="6">
        <v>0.19534792364832501</v>
      </c>
      <c r="E75" s="6">
        <v>0.42444355782743698</v>
      </c>
      <c r="F75" s="6">
        <v>0.114339798928235</v>
      </c>
      <c r="G75" s="6">
        <v>0.13229112319120401</v>
      </c>
      <c r="H75" s="6">
        <v>5.3474450604605199E-2</v>
      </c>
      <c r="I75" s="6">
        <v>1.3894346207897699E-2</v>
      </c>
      <c r="J75" s="6">
        <v>6.6210291415069603E-3</v>
      </c>
      <c r="K75" s="6">
        <v>2.6371882383827799E-2</v>
      </c>
      <c r="L75" s="9">
        <v>3.4129692832764505E-3</v>
      </c>
      <c r="M75" s="9">
        <v>1.5242537025311569E-2</v>
      </c>
      <c r="N75" s="9">
        <v>3.0577733850169105E-3</v>
      </c>
      <c r="O75" s="9">
        <v>5.7757941716986083E-3</v>
      </c>
      <c r="P75" s="9">
        <v>2.7952372863033373E-3</v>
      </c>
      <c r="Q75" s="9">
        <v>1.5597732923571109E-3</v>
      </c>
      <c r="R75" s="9">
        <v>1.3744536932651769E-3</v>
      </c>
    </row>
    <row r="76" spans="1:18" x14ac:dyDescent="0.35">
      <c r="A76" s="2" t="s">
        <v>69</v>
      </c>
      <c r="C76" s="2" t="s">
        <v>26</v>
      </c>
      <c r="D76">
        <v>19.534792364832501</v>
      </c>
      <c r="E76" s="11">
        <f>42.4443557827437-C75</f>
        <v>25.777689116077031</v>
      </c>
      <c r="F76">
        <v>11.433979892823499</v>
      </c>
      <c r="G76">
        <v>13.2291123191204</v>
      </c>
      <c r="H76">
        <v>5.3474450604605197</v>
      </c>
      <c r="I76">
        <v>1.3894346207897701</v>
      </c>
      <c r="J76">
        <v>0.662102914150696</v>
      </c>
      <c r="K76">
        <v>2.6371882383827798</v>
      </c>
    </row>
    <row r="77" spans="1:18" x14ac:dyDescent="0.35">
      <c r="C77" s="2" t="s">
        <v>26</v>
      </c>
      <c r="D77">
        <v>19.534792364832501</v>
      </c>
      <c r="E77" s="11">
        <f>E76-C75</f>
        <v>9.1110224494103633</v>
      </c>
      <c r="F77">
        <v>11.433979892823499</v>
      </c>
      <c r="G77">
        <v>13.2291123191204</v>
      </c>
      <c r="H77">
        <v>5.3474450604605197</v>
      </c>
      <c r="I77">
        <v>1.3894346207897701</v>
      </c>
      <c r="J77">
        <v>0.662102914150696</v>
      </c>
      <c r="K77">
        <v>2.6371882383827798</v>
      </c>
    </row>
    <row r="78" spans="1:18" x14ac:dyDescent="0.35">
      <c r="C78" s="2" t="s">
        <v>70</v>
      </c>
      <c r="D78" s="11">
        <f>D77-C75</f>
        <v>2.8681256981658336</v>
      </c>
      <c r="E78">
        <f>E77</f>
        <v>9.1110224494103633</v>
      </c>
      <c r="F78">
        <v>11.433979892823499</v>
      </c>
      <c r="G78">
        <v>13.2291123191204</v>
      </c>
      <c r="H78">
        <v>5.3474450604605197</v>
      </c>
      <c r="I78">
        <v>1.3894346207897701</v>
      </c>
      <c r="J78">
        <v>0.662102914150696</v>
      </c>
      <c r="K78">
        <v>2.6371882383827798</v>
      </c>
    </row>
    <row r="79" spans="1:18" x14ac:dyDescent="0.35">
      <c r="B79" s="2" t="s">
        <v>71</v>
      </c>
      <c r="D79">
        <f>D78+($J78*0)</f>
        <v>2.8681256981658336</v>
      </c>
      <c r="E79">
        <f t="shared" ref="E79:H79" si="26">E78+($J78*0)</f>
        <v>9.1110224494103633</v>
      </c>
      <c r="F79">
        <f t="shared" si="26"/>
        <v>11.433979892823499</v>
      </c>
      <c r="G79">
        <f>G78+($J78*0.152)</f>
        <v>13.329751962071306</v>
      </c>
      <c r="H79">
        <f t="shared" si="26"/>
        <v>5.3474450604605197</v>
      </c>
      <c r="I79">
        <f>I78+($J78*0.3052)</f>
        <v>1.5915084301885625</v>
      </c>
      <c r="J79" s="13"/>
      <c r="K79">
        <f>K78+($J78*0.2892)</f>
        <v>2.828668401155161</v>
      </c>
    </row>
    <row r="80" spans="1:18" x14ac:dyDescent="0.35">
      <c r="B80" s="2" t="s">
        <v>50</v>
      </c>
      <c r="D80">
        <f>D79+($I79*0.2936)</f>
        <v>3.3353925732691958</v>
      </c>
      <c r="E80">
        <f t="shared" ref="E80:G80" si="27">E79+($I79*0)</f>
        <v>9.1110224494103633</v>
      </c>
      <c r="F80">
        <f>F79+($I79*0.058)</f>
        <v>11.526287381774436</v>
      </c>
      <c r="G80">
        <f t="shared" si="27"/>
        <v>13.329751962071306</v>
      </c>
      <c r="H80">
        <f>H79+($I79*0.0726)</f>
        <v>5.4629885724922094</v>
      </c>
      <c r="I80" s="13"/>
      <c r="J80" s="13"/>
      <c r="K80">
        <f>K79+($I79*0.01386)</f>
        <v>2.8507267079975747</v>
      </c>
    </row>
    <row r="81" spans="1:18" x14ac:dyDescent="0.35">
      <c r="B81" s="2" t="s">
        <v>51</v>
      </c>
      <c r="D81">
        <f>D80+($K80*0.4066)</f>
        <v>4.4944980527410099</v>
      </c>
      <c r="E81">
        <f>E80+($K80*0.0288)</f>
        <v>9.1931233786006938</v>
      </c>
      <c r="F81">
        <f>F80+($K80*0.0345)</f>
        <v>11.624637453200352</v>
      </c>
      <c r="G81">
        <f>G80+($K80*0)</f>
        <v>13.329751962071306</v>
      </c>
      <c r="H81">
        <f t="shared" ref="H81" si="28">H80+($K80*0)</f>
        <v>5.4629885724922094</v>
      </c>
      <c r="I81" s="13"/>
      <c r="J81" s="13"/>
      <c r="K81" s="13"/>
    </row>
    <row r="82" spans="1:18" x14ac:dyDescent="0.35">
      <c r="B82" s="2" t="s">
        <v>72</v>
      </c>
      <c r="D82" s="13"/>
      <c r="E82">
        <f>E81+($D81*0.0985)</f>
        <v>9.6358314367956837</v>
      </c>
      <c r="F82">
        <f>F81+($D81*0.1445)</f>
        <v>12.274092421821427</v>
      </c>
      <c r="G82">
        <f>G81+($D81*0.2051)</f>
        <v>14.251573512688488</v>
      </c>
      <c r="H82">
        <f>H81+($D81*0.0441)</f>
        <v>5.6611959366180882</v>
      </c>
      <c r="I82" s="13"/>
      <c r="J82" s="13"/>
      <c r="K82" s="13"/>
    </row>
    <row r="83" spans="1:18" x14ac:dyDescent="0.35">
      <c r="B83" s="2" t="s">
        <v>60</v>
      </c>
      <c r="D83" s="13"/>
      <c r="E83">
        <f>E82+($H82*0.2754)</f>
        <v>11.194924797740304</v>
      </c>
      <c r="F83">
        <f>F82+($H82*0.0436)</f>
        <v>12.520920564657976</v>
      </c>
      <c r="G83">
        <f>G82+($H82*0.4247)</f>
        <v>16.655883426970192</v>
      </c>
      <c r="H83" s="13"/>
      <c r="I83" s="13"/>
      <c r="J83" s="13"/>
      <c r="K83" s="13"/>
    </row>
    <row r="84" spans="1:18" x14ac:dyDescent="0.35">
      <c r="B84" s="2" t="s">
        <v>73</v>
      </c>
      <c r="C84" s="2" t="s">
        <v>49</v>
      </c>
      <c r="D84" s="13"/>
      <c r="E84" s="13"/>
      <c r="F84">
        <f>F83+($E83*0.1403)</f>
        <v>14.09156851378094</v>
      </c>
      <c r="G84" s="11">
        <f>G83+($E83*0.3897)</f>
        <v>21.01854562064959</v>
      </c>
      <c r="H84" s="13"/>
      <c r="I84" s="13"/>
      <c r="J84" s="13"/>
      <c r="K84" s="13"/>
    </row>
    <row r="85" spans="1:18" x14ac:dyDescent="0.35">
      <c r="B85" s="2" t="s">
        <v>74</v>
      </c>
      <c r="C85" s="2" t="s">
        <v>27</v>
      </c>
      <c r="F85" s="11">
        <f>F84+(G85*0.0129)</f>
        <v>14.147707752287319</v>
      </c>
      <c r="G85">
        <f>G84-C75</f>
        <v>4.3518789539829221</v>
      </c>
    </row>
    <row r="87" spans="1:18" x14ac:dyDescent="0.35">
      <c r="A87" s="2" t="s">
        <v>11</v>
      </c>
      <c r="B87">
        <v>5</v>
      </c>
      <c r="C87">
        <v>16.666666666666668</v>
      </c>
      <c r="D87" s="6">
        <v>0.24407221267286505</v>
      </c>
      <c r="E87" s="6">
        <v>0.38875585071750401</v>
      </c>
      <c r="F87" s="6">
        <v>6.9539810401854307E-2</v>
      </c>
      <c r="G87" s="6">
        <v>0.13920270724275333</v>
      </c>
      <c r="H87" s="6">
        <v>5.3083072896320027E-2</v>
      </c>
      <c r="I87" s="6">
        <v>1.1478698856681511E-2</v>
      </c>
      <c r="J87" s="6">
        <v>6.2524025314477693E-3</v>
      </c>
      <c r="K87" s="6">
        <v>3.2904361017787848E-2</v>
      </c>
      <c r="L87" s="9">
        <v>2.630413834414147E-3</v>
      </c>
      <c r="M87" s="9">
        <v>4.2151730603953434E-2</v>
      </c>
      <c r="N87" s="9">
        <v>1.6537750345079043E-3</v>
      </c>
      <c r="O87" s="9">
        <v>4.1669922129333025E-3</v>
      </c>
      <c r="P87" s="9">
        <v>1.6277313331770711E-3</v>
      </c>
      <c r="Q87" s="9">
        <v>1.4454254238612393E-3</v>
      </c>
      <c r="R87" s="9">
        <v>1.0417480532333256E-3</v>
      </c>
    </row>
    <row r="88" spans="1:18" x14ac:dyDescent="0.35">
      <c r="A88" s="2" t="s">
        <v>75</v>
      </c>
      <c r="C88" s="2" t="s">
        <v>26</v>
      </c>
      <c r="D88">
        <f>D87*100</f>
        <v>24.407221267286506</v>
      </c>
      <c r="E88" s="11">
        <f>(E87*100)-C87</f>
        <v>22.208918405083732</v>
      </c>
      <c r="F88">
        <f t="shared" ref="F88:K88" si="29">F87*100</f>
        <v>6.9539810401854307</v>
      </c>
      <c r="G88">
        <f t="shared" si="29"/>
        <v>13.920270724275333</v>
      </c>
      <c r="H88">
        <f t="shared" si="29"/>
        <v>5.3083072896320029</v>
      </c>
      <c r="I88">
        <f t="shared" si="29"/>
        <v>1.1478698856681511</v>
      </c>
      <c r="J88">
        <f t="shared" si="29"/>
        <v>0.62524025314477694</v>
      </c>
      <c r="K88">
        <f t="shared" si="29"/>
        <v>3.2904361017787846</v>
      </c>
    </row>
    <row r="89" spans="1:18" x14ac:dyDescent="0.35">
      <c r="C89" s="2" t="s">
        <v>56</v>
      </c>
      <c r="D89" s="11">
        <f>D88-C87</f>
        <v>7.7405546006198378</v>
      </c>
      <c r="E89">
        <f>E88</f>
        <v>22.208918405083732</v>
      </c>
      <c r="F89">
        <f>F88</f>
        <v>6.9539810401854307</v>
      </c>
      <c r="G89">
        <f t="shared" ref="G89:K90" si="30">G88</f>
        <v>13.920270724275333</v>
      </c>
      <c r="H89">
        <f t="shared" si="30"/>
        <v>5.3083072896320029</v>
      </c>
      <c r="I89">
        <f t="shared" si="30"/>
        <v>1.1478698856681511</v>
      </c>
      <c r="J89">
        <f t="shared" si="30"/>
        <v>0.62524025314477694</v>
      </c>
      <c r="K89">
        <f t="shared" si="30"/>
        <v>3.2904361017787846</v>
      </c>
    </row>
    <row r="90" spans="1:18" x14ac:dyDescent="0.35">
      <c r="C90" s="2" t="s">
        <v>26</v>
      </c>
      <c r="D90">
        <f>D89</f>
        <v>7.7405546006198378</v>
      </c>
      <c r="E90" s="11">
        <f>E89-C87</f>
        <v>5.5422517384170646</v>
      </c>
      <c r="F90">
        <f t="shared" ref="F90" si="31">F89</f>
        <v>6.9539810401854307</v>
      </c>
      <c r="G90">
        <f t="shared" si="30"/>
        <v>13.920270724275333</v>
      </c>
      <c r="H90">
        <f t="shared" si="30"/>
        <v>5.3083072896320029</v>
      </c>
      <c r="I90">
        <f t="shared" si="30"/>
        <v>1.1478698856681511</v>
      </c>
      <c r="J90">
        <f t="shared" si="30"/>
        <v>0.62524025314477694</v>
      </c>
      <c r="K90">
        <f t="shared" si="30"/>
        <v>3.2904361017787846</v>
      </c>
    </row>
    <row r="91" spans="1:18" x14ac:dyDescent="0.35">
      <c r="B91" s="2" t="s">
        <v>52</v>
      </c>
      <c r="D91">
        <f>D90+($J90*0)</f>
        <v>7.7405546006198378</v>
      </c>
      <c r="E91">
        <f t="shared" ref="E91:H91" si="32">E90+($J90*0)</f>
        <v>5.5422517384170646</v>
      </c>
      <c r="F91">
        <f t="shared" si="32"/>
        <v>6.9539810401854307</v>
      </c>
      <c r="G91">
        <f>G90+($J90*0.152)</f>
        <v>14.015307242753339</v>
      </c>
      <c r="H91">
        <f t="shared" si="32"/>
        <v>5.3083072896320029</v>
      </c>
      <c r="I91">
        <f>I90+($J90*0.3052)</f>
        <v>1.338693210927937</v>
      </c>
      <c r="J91" s="13"/>
      <c r="K91">
        <f>K90+($J90*0.2892)</f>
        <v>3.4712555829882543</v>
      </c>
    </row>
    <row r="92" spans="1:18" x14ac:dyDescent="0.35">
      <c r="B92" s="2" t="s">
        <v>50</v>
      </c>
      <c r="D92">
        <f>D91+($I91*0.2936)</f>
        <v>8.1335949273482804</v>
      </c>
      <c r="E92">
        <f t="shared" ref="E92:G92" si="33">E91+($I91*0)</f>
        <v>5.5422517384170646</v>
      </c>
      <c r="F92">
        <f>F91+($I91*0.058)</f>
        <v>7.0316252464192512</v>
      </c>
      <c r="G92">
        <f t="shared" si="33"/>
        <v>14.015307242753339</v>
      </c>
      <c r="H92">
        <f>H91+($I91*0.0726)</f>
        <v>5.405496416745371</v>
      </c>
      <c r="I92" s="13"/>
      <c r="J92" s="13"/>
      <c r="K92">
        <f>K91+($I91*0.1386)</f>
        <v>3.6567984620228664</v>
      </c>
    </row>
    <row r="93" spans="1:18" x14ac:dyDescent="0.35">
      <c r="B93" s="2" t="s">
        <v>51</v>
      </c>
      <c r="D93">
        <f>D92+($K92*0.4066)</f>
        <v>9.6204491820067783</v>
      </c>
      <c r="E93">
        <f>E92+($K92*0.0288)</f>
        <v>5.6475675341233229</v>
      </c>
      <c r="F93">
        <f>F92+($K92*0.0345)</f>
        <v>7.1577847933590402</v>
      </c>
      <c r="G93">
        <f t="shared" ref="G93:H93" si="34">G92+($K92*0)</f>
        <v>14.015307242753339</v>
      </c>
      <c r="H93">
        <f t="shared" si="34"/>
        <v>5.405496416745371</v>
      </c>
      <c r="I93" s="13"/>
      <c r="J93" s="13"/>
      <c r="K93" s="13"/>
    </row>
    <row r="94" spans="1:18" x14ac:dyDescent="0.35">
      <c r="B94" s="2" t="s">
        <v>60</v>
      </c>
      <c r="D94">
        <f>D93+($H93*0)</f>
        <v>9.6204491820067783</v>
      </c>
      <c r="E94">
        <f>E93+($H93*0.2754)</f>
        <v>7.1362412472949979</v>
      </c>
      <c r="F94">
        <f>F93+($H93*0.0436)</f>
        <v>7.393464437129138</v>
      </c>
      <c r="G94">
        <f>G93+($H93*0.4247)</f>
        <v>16.311021570945098</v>
      </c>
      <c r="H94" s="13"/>
      <c r="I94" s="13"/>
      <c r="J94" s="13"/>
      <c r="K94" s="13"/>
    </row>
    <row r="95" spans="1:18" x14ac:dyDescent="0.35">
      <c r="B95" s="2" t="s">
        <v>73</v>
      </c>
      <c r="D95">
        <f>D94+($E94*0.0351)</f>
        <v>9.8709312497868336</v>
      </c>
      <c r="E95" s="13"/>
      <c r="F95">
        <f>F94+($E94*0.1403)</f>
        <v>8.3946790841246255</v>
      </c>
      <c r="G95">
        <f>G94+($E94*0.3897)</f>
        <v>19.092014785015959</v>
      </c>
      <c r="H95" s="13"/>
      <c r="I95" s="13"/>
      <c r="J95" s="13"/>
      <c r="K95" s="13"/>
    </row>
    <row r="96" spans="1:18" x14ac:dyDescent="0.35">
      <c r="C96" s="2" t="s">
        <v>49</v>
      </c>
      <c r="D96">
        <f>D95</f>
        <v>9.8709312497868336</v>
      </c>
      <c r="E96" s="13"/>
      <c r="F96">
        <f>F95</f>
        <v>8.3946790841246255</v>
      </c>
      <c r="G96" s="11">
        <f>G95-C87</f>
        <v>2.4253481183492909</v>
      </c>
      <c r="H96" s="13"/>
      <c r="I96" s="13"/>
      <c r="J96" s="13"/>
      <c r="K96" s="13"/>
    </row>
    <row r="97" spans="1:18" x14ac:dyDescent="0.35">
      <c r="B97" s="2" t="s">
        <v>76</v>
      </c>
      <c r="D97">
        <f>D96+($G96*0)</f>
        <v>9.8709312497868336</v>
      </c>
      <c r="E97" s="13"/>
      <c r="F97">
        <f>F96+($G96*0.0129)</f>
        <v>8.4259660748513312</v>
      </c>
      <c r="G97" s="13"/>
      <c r="H97" s="13"/>
      <c r="I97" s="13"/>
      <c r="J97" s="13"/>
      <c r="K97" s="13"/>
    </row>
    <row r="98" spans="1:18" x14ac:dyDescent="0.35">
      <c r="B98" s="2" t="s">
        <v>54</v>
      </c>
      <c r="C98" s="2" t="s">
        <v>56</v>
      </c>
      <c r="D98" s="11">
        <f>D97+(F97*0.0411)</f>
        <v>10.217238455463223</v>
      </c>
      <c r="E98" s="13"/>
      <c r="F98" s="13"/>
      <c r="G98" s="13"/>
      <c r="H98" s="13"/>
      <c r="I98" s="13"/>
      <c r="J98" s="13"/>
      <c r="K98" s="13"/>
    </row>
    <row r="100" spans="1:18" x14ac:dyDescent="0.35">
      <c r="A100" t="s">
        <v>12</v>
      </c>
      <c r="B100">
        <v>4</v>
      </c>
      <c r="C100">
        <v>20</v>
      </c>
      <c r="D100" s="6">
        <v>0.19627038433376434</v>
      </c>
      <c r="E100" s="6">
        <v>0.24416993098505971</v>
      </c>
      <c r="F100" s="6">
        <v>5.1445568555359956E-2</v>
      </c>
      <c r="G100" s="6">
        <v>0.39267402358659581</v>
      </c>
      <c r="H100" s="6">
        <v>3.7186767203103335E-2</v>
      </c>
      <c r="I100" s="6">
        <v>1.7194701584383618E-2</v>
      </c>
      <c r="J100" s="6">
        <v>8.0624172365981704E-3</v>
      </c>
      <c r="K100" s="6">
        <v>2.9437342846905232E-2</v>
      </c>
      <c r="L100" s="9">
        <v>4.4400130863543599E-3</v>
      </c>
      <c r="M100" s="9">
        <v>3.8635903347925657E-3</v>
      </c>
      <c r="N100" s="9">
        <v>2.9132717443798783E-3</v>
      </c>
      <c r="O100" s="9">
        <v>5.7798065089033944E-3</v>
      </c>
      <c r="P100" s="9">
        <v>1.0437925501254109E-3</v>
      </c>
      <c r="Q100" s="9">
        <v>0</v>
      </c>
      <c r="R100" s="9">
        <v>5.4526476499088625E-3</v>
      </c>
    </row>
    <row r="101" spans="1:18" x14ac:dyDescent="0.35">
      <c r="A101" s="2" t="s">
        <v>77</v>
      </c>
      <c r="C101" s="2" t="s">
        <v>49</v>
      </c>
      <c r="D101">
        <f>D100*100</f>
        <v>19.627038433376434</v>
      </c>
      <c r="E101">
        <f t="shared" ref="E101:K101" si="35">E100*100</f>
        <v>24.416993098505969</v>
      </c>
      <c r="F101">
        <f t="shared" si="35"/>
        <v>5.1445568555359955</v>
      </c>
      <c r="G101" s="11">
        <f>(G100*100)-C100</f>
        <v>19.267402358659581</v>
      </c>
      <c r="H101">
        <f t="shared" si="35"/>
        <v>3.7186767203103335</v>
      </c>
      <c r="I101">
        <f t="shared" si="35"/>
        <v>1.7194701584383618</v>
      </c>
      <c r="J101">
        <f t="shared" si="35"/>
        <v>0.80624172365981706</v>
      </c>
      <c r="K101">
        <f t="shared" si="35"/>
        <v>2.9437342846905232</v>
      </c>
    </row>
    <row r="102" spans="1:18" x14ac:dyDescent="0.35">
      <c r="C102" s="2" t="s">
        <v>26</v>
      </c>
      <c r="D102">
        <f>D101</f>
        <v>19.627038433376434</v>
      </c>
      <c r="E102" s="11">
        <f>E101-C100</f>
        <v>4.4169930985059693</v>
      </c>
      <c r="F102">
        <f t="shared" ref="F102:K102" si="36">F101</f>
        <v>5.1445568555359955</v>
      </c>
      <c r="G102">
        <f t="shared" si="36"/>
        <v>19.267402358659581</v>
      </c>
      <c r="H102">
        <f t="shared" si="36"/>
        <v>3.7186767203103335</v>
      </c>
      <c r="I102">
        <f t="shared" si="36"/>
        <v>1.7194701584383618</v>
      </c>
      <c r="J102">
        <f t="shared" si="36"/>
        <v>0.80624172365981706</v>
      </c>
      <c r="K102">
        <f t="shared" si="36"/>
        <v>2.9437342846905232</v>
      </c>
    </row>
    <row r="103" spans="1:18" x14ac:dyDescent="0.35">
      <c r="B103" s="2" t="s">
        <v>52</v>
      </c>
      <c r="D103">
        <f>D102+($J102*0)</f>
        <v>19.627038433376434</v>
      </c>
      <c r="E103">
        <f t="shared" ref="E103:H103" si="37">E102+($J102*0)</f>
        <v>4.4169930985059693</v>
      </c>
      <c r="F103">
        <f t="shared" si="37"/>
        <v>5.1445568555359955</v>
      </c>
      <c r="G103">
        <f>G102+($J102*0.152)</f>
        <v>19.389951100655875</v>
      </c>
      <c r="H103">
        <f t="shared" si="37"/>
        <v>3.7186767203103335</v>
      </c>
      <c r="I103">
        <f>I102+($J102*0.3052)</f>
        <v>1.965535132499338</v>
      </c>
      <c r="J103" s="13"/>
      <c r="K103">
        <f>K102+($J102*0.2892)</f>
        <v>3.1768993911729422</v>
      </c>
    </row>
    <row r="104" spans="1:18" x14ac:dyDescent="0.35">
      <c r="B104" s="2" t="s">
        <v>50</v>
      </c>
      <c r="D104">
        <f>D103+($I103*0.2936)</f>
        <v>20.204119548278239</v>
      </c>
      <c r="E104">
        <f>E103+($I103*0)</f>
        <v>4.4169930985059693</v>
      </c>
      <c r="F104">
        <f>F103+($I103*0.058)</f>
        <v>5.2585578932209573</v>
      </c>
      <c r="G104">
        <f t="shared" ref="G104" si="38">G103+($I103*0)</f>
        <v>19.389951100655875</v>
      </c>
      <c r="H104">
        <f>H103+($I103*0.0726)</f>
        <v>3.8613745709297853</v>
      </c>
      <c r="I104" s="13"/>
      <c r="J104" s="13"/>
      <c r="K104">
        <f>K103+($I103*0.1386)</f>
        <v>3.4493225605373503</v>
      </c>
    </row>
    <row r="105" spans="1:18" x14ac:dyDescent="0.35">
      <c r="C105" s="2" t="s">
        <v>56</v>
      </c>
      <c r="D105" s="11">
        <f>D104-C100</f>
        <v>0.20411954827823919</v>
      </c>
      <c r="E105">
        <f>E104</f>
        <v>4.4169930985059693</v>
      </c>
      <c r="F105">
        <f t="shared" ref="F105:K105" si="39">F104</f>
        <v>5.2585578932209573</v>
      </c>
      <c r="G105">
        <f t="shared" si="39"/>
        <v>19.389951100655875</v>
      </c>
      <c r="H105">
        <f t="shared" si="39"/>
        <v>3.8613745709297853</v>
      </c>
      <c r="I105" s="13"/>
      <c r="J105" s="13"/>
      <c r="K105">
        <f t="shared" si="39"/>
        <v>3.4493225605373503</v>
      </c>
    </row>
    <row r="106" spans="1:18" x14ac:dyDescent="0.35">
      <c r="B106" s="2" t="s">
        <v>61</v>
      </c>
      <c r="D106" s="13"/>
      <c r="E106">
        <f>E105+($D105*0.1035)</f>
        <v>4.438119471752767</v>
      </c>
      <c r="F106">
        <f>F105+($D105*0.1277)</f>
        <v>5.2846239595360887</v>
      </c>
      <c r="G106">
        <f>G105+($D105*0.1497)</f>
        <v>19.420507797033128</v>
      </c>
      <c r="H106">
        <f>H105+($D105*0.0478)</f>
        <v>3.871131485337485</v>
      </c>
      <c r="I106" s="13"/>
      <c r="J106" s="13"/>
      <c r="K106">
        <f>K105+($D105*0.0532)</f>
        <v>3.4601817205057528</v>
      </c>
    </row>
    <row r="107" spans="1:18" x14ac:dyDescent="0.35">
      <c r="B107" s="2" t="s">
        <v>51</v>
      </c>
      <c r="D107" s="13"/>
      <c r="E107">
        <f>E106+($K106*0.0288)</f>
        <v>4.5377727053033325</v>
      </c>
      <c r="F107">
        <f>F106+($K106*0.0345)</f>
        <v>5.4040002288935369</v>
      </c>
      <c r="G107">
        <f t="shared" ref="G107" si="40">G106+($K106*0)</f>
        <v>19.420507797033128</v>
      </c>
      <c r="H107">
        <f>H106+($K106*0)</f>
        <v>3.871131485337485</v>
      </c>
      <c r="I107" s="13"/>
      <c r="J107" s="13"/>
      <c r="K107" s="13"/>
    </row>
    <row r="108" spans="1:18" x14ac:dyDescent="0.35">
      <c r="B108" s="2" t="s">
        <v>60</v>
      </c>
      <c r="D108" s="13"/>
      <c r="E108">
        <f>E107+($H107*0.2754)</f>
        <v>5.6038823163652758</v>
      </c>
      <c r="F108">
        <f>F107+($H107*0.0436)</f>
        <v>5.5727815616542511</v>
      </c>
      <c r="G108">
        <f>G107+($H107*0.4247)</f>
        <v>21.064577338855958</v>
      </c>
      <c r="H108" s="13"/>
      <c r="I108" s="13"/>
      <c r="J108" s="13"/>
      <c r="K108" s="13"/>
    </row>
    <row r="109" spans="1:18" x14ac:dyDescent="0.35">
      <c r="C109" s="2" t="s">
        <v>49</v>
      </c>
      <c r="D109" s="13"/>
      <c r="E109">
        <f>E108</f>
        <v>5.6038823163652758</v>
      </c>
      <c r="F109">
        <f t="shared" ref="F109" si="41">F108</f>
        <v>5.5727815616542511</v>
      </c>
      <c r="G109" s="11">
        <f>G108-C100</f>
        <v>1.0645773388559583</v>
      </c>
      <c r="H109" s="13"/>
      <c r="I109" s="13"/>
      <c r="J109" s="13"/>
      <c r="K109" s="13"/>
    </row>
    <row r="111" spans="1:18" x14ac:dyDescent="0.35">
      <c r="A111" t="s">
        <v>13</v>
      </c>
      <c r="B111">
        <v>5</v>
      </c>
      <c r="C111">
        <v>16.666666666666668</v>
      </c>
      <c r="D111" s="6">
        <v>0.32157455360679377</v>
      </c>
      <c r="E111" s="6">
        <v>0.35163889443414603</v>
      </c>
      <c r="F111" s="6">
        <v>2.6664128523218783E-2</v>
      </c>
      <c r="G111" s="6">
        <v>0.17719992236639892</v>
      </c>
      <c r="H111" s="6">
        <v>2.5794988671831678E-2</v>
      </c>
      <c r="I111" s="6">
        <v>1.9113108988069772E-2</v>
      </c>
      <c r="J111" s="6">
        <v>1.1137157976456421E-2</v>
      </c>
      <c r="K111" s="6">
        <v>4.6863114533326991E-2</v>
      </c>
      <c r="L111" s="9">
        <v>3.8975236465611483E-3</v>
      </c>
      <c r="M111" s="9">
        <v>2.5666619135890491E-3</v>
      </c>
      <c r="N111" s="9">
        <v>2.3923824009379406E-3</v>
      </c>
      <c r="O111" s="9">
        <v>4.1827083036265981E-3</v>
      </c>
      <c r="P111" s="9">
        <v>9.1892833943311623E-4</v>
      </c>
      <c r="Q111" s="9">
        <v>0</v>
      </c>
      <c r="R111" s="9">
        <v>6.0047213904336387E-3</v>
      </c>
    </row>
    <row r="112" spans="1:18" x14ac:dyDescent="0.35">
      <c r="A112" s="2" t="s">
        <v>77</v>
      </c>
      <c r="C112" s="2" t="s">
        <v>26</v>
      </c>
      <c r="D112">
        <f>D111*100</f>
        <v>32.157455360679378</v>
      </c>
      <c r="E112" s="11">
        <f>(E111*100)-C111</f>
        <v>18.497222776747936</v>
      </c>
      <c r="F112">
        <f t="shared" ref="F112:K112" si="42">F111*100</f>
        <v>2.6664128523218782</v>
      </c>
      <c r="G112">
        <f t="shared" si="42"/>
        <v>17.719992236639893</v>
      </c>
      <c r="H112">
        <f t="shared" si="42"/>
        <v>2.579498867183168</v>
      </c>
      <c r="I112">
        <f t="shared" si="42"/>
        <v>1.9113108988069771</v>
      </c>
      <c r="J112">
        <f t="shared" si="42"/>
        <v>1.113715797645642</v>
      </c>
      <c r="K112">
        <f t="shared" si="42"/>
        <v>4.6863114533326993</v>
      </c>
    </row>
    <row r="113" spans="1:18" x14ac:dyDescent="0.35">
      <c r="C113" s="2" t="s">
        <v>56</v>
      </c>
      <c r="D113" s="11">
        <f>D112-C111</f>
        <v>15.490788694012711</v>
      </c>
      <c r="E113">
        <f t="shared" ref="E113:K115" si="43">E112</f>
        <v>18.497222776747936</v>
      </c>
      <c r="F113">
        <f t="shared" si="43"/>
        <v>2.6664128523218782</v>
      </c>
      <c r="G113">
        <f t="shared" si="43"/>
        <v>17.719992236639893</v>
      </c>
      <c r="H113">
        <f t="shared" si="43"/>
        <v>2.579498867183168</v>
      </c>
      <c r="I113">
        <f t="shared" si="43"/>
        <v>1.9113108988069771</v>
      </c>
      <c r="J113">
        <f t="shared" si="43"/>
        <v>1.113715797645642</v>
      </c>
      <c r="K113">
        <f t="shared" si="43"/>
        <v>4.6863114533326993</v>
      </c>
    </row>
    <row r="114" spans="1:18" x14ac:dyDescent="0.35">
      <c r="C114" s="2" t="s">
        <v>26</v>
      </c>
      <c r="D114">
        <f>D113</f>
        <v>15.490788694012711</v>
      </c>
      <c r="E114" s="11">
        <f>E113-C111</f>
        <v>1.8305561100812682</v>
      </c>
      <c r="F114">
        <f t="shared" si="43"/>
        <v>2.6664128523218782</v>
      </c>
      <c r="G114">
        <f t="shared" si="43"/>
        <v>17.719992236639893</v>
      </c>
      <c r="H114">
        <f t="shared" si="43"/>
        <v>2.579498867183168</v>
      </c>
      <c r="I114">
        <f t="shared" si="43"/>
        <v>1.9113108988069771</v>
      </c>
      <c r="J114">
        <f t="shared" si="43"/>
        <v>1.113715797645642</v>
      </c>
      <c r="K114">
        <f t="shared" si="43"/>
        <v>4.6863114533326993</v>
      </c>
    </row>
    <row r="115" spans="1:18" x14ac:dyDescent="0.35">
      <c r="C115" s="2" t="s">
        <v>49</v>
      </c>
      <c r="D115">
        <f>D114</f>
        <v>15.490788694012711</v>
      </c>
      <c r="E115">
        <f t="shared" ref="E115" si="44">E114</f>
        <v>1.8305561100812682</v>
      </c>
      <c r="F115">
        <f t="shared" si="43"/>
        <v>2.6664128523218782</v>
      </c>
      <c r="G115" s="11">
        <f>G114-C111</f>
        <v>1.0533255699732251</v>
      </c>
      <c r="H115">
        <f t="shared" si="43"/>
        <v>2.579498867183168</v>
      </c>
      <c r="I115">
        <f t="shared" si="43"/>
        <v>1.9113108988069771</v>
      </c>
      <c r="J115">
        <f t="shared" si="43"/>
        <v>1.113715797645642</v>
      </c>
      <c r="K115">
        <f t="shared" si="43"/>
        <v>4.6863114533326993</v>
      </c>
    </row>
    <row r="116" spans="1:18" x14ac:dyDescent="0.35">
      <c r="B116" s="2" t="s">
        <v>62</v>
      </c>
      <c r="D116">
        <f>D115+($G115*0.1149)</f>
        <v>15.611815802002635</v>
      </c>
      <c r="E116">
        <f>E115+($G115*0.4561)</f>
        <v>2.310977902546056</v>
      </c>
      <c r="F116">
        <f>F115+($G115*0.0593)</f>
        <v>2.7288750586212904</v>
      </c>
      <c r="G116" s="13"/>
      <c r="H116">
        <f>H115+($G115*0.2986)</f>
        <v>2.8940218823771731</v>
      </c>
      <c r="I116">
        <f t="shared" ref="I116:K116" si="45">I115+($G115*0)</f>
        <v>1.9113108988069771</v>
      </c>
      <c r="J116">
        <f t="shared" si="45"/>
        <v>1.113715797645642</v>
      </c>
      <c r="K116">
        <f t="shared" si="45"/>
        <v>4.6863114533326993</v>
      </c>
    </row>
    <row r="117" spans="1:18" x14ac:dyDescent="0.35">
      <c r="B117" s="2" t="s">
        <v>52</v>
      </c>
      <c r="D117">
        <f>D116+($J116*0)</f>
        <v>15.611815802002635</v>
      </c>
      <c r="E117">
        <f t="shared" ref="E117:H117" si="46">E116+($J116*0)</f>
        <v>2.310977902546056</v>
      </c>
      <c r="F117">
        <f t="shared" si="46"/>
        <v>2.7288750586212904</v>
      </c>
      <c r="G117" s="13"/>
      <c r="H117">
        <f t="shared" si="46"/>
        <v>2.8940218823771731</v>
      </c>
      <c r="I117">
        <f>I116+($J116*0.3052)</f>
        <v>2.2512169602484269</v>
      </c>
      <c r="J117" s="13"/>
      <c r="K117">
        <f>K116+($J116*0.2892)</f>
        <v>5.0083980620118194</v>
      </c>
    </row>
    <row r="118" spans="1:18" x14ac:dyDescent="0.35">
      <c r="B118" s="2" t="s">
        <v>50</v>
      </c>
      <c r="D118">
        <f>D117+($I117*0.2936)</f>
        <v>16.272773101531573</v>
      </c>
      <c r="E118">
        <f>E117+($I117*0)</f>
        <v>2.310977902546056</v>
      </c>
      <c r="F118">
        <f>F117+($I117*0.058)</f>
        <v>2.8594456423156993</v>
      </c>
      <c r="G118" s="13"/>
      <c r="H118">
        <f>H117+($I117*0.0726)</f>
        <v>3.0574602336912089</v>
      </c>
      <c r="I118" s="13"/>
      <c r="J118" s="13"/>
      <c r="K118">
        <f>K117+($I117*0.1386)</f>
        <v>5.3204167327022516</v>
      </c>
    </row>
    <row r="119" spans="1:18" x14ac:dyDescent="0.35">
      <c r="B119" s="2" t="s">
        <v>98</v>
      </c>
      <c r="D119">
        <f>D118+($E118*0.043)</f>
        <v>16.372145151341055</v>
      </c>
      <c r="E119" s="13"/>
      <c r="F119">
        <f>F118+($E118*0.173)</f>
        <v>3.2592448194561667</v>
      </c>
      <c r="G119" s="13"/>
      <c r="H119">
        <f>H118+($E118*0.1368)</f>
        <v>3.3736020107595093</v>
      </c>
      <c r="I119" s="13"/>
      <c r="J119" s="13"/>
      <c r="K119">
        <f>K118+($E118*0.0365)</f>
        <v>5.4047674261451828</v>
      </c>
    </row>
    <row r="120" spans="1:18" x14ac:dyDescent="0.35">
      <c r="B120" s="2" t="s">
        <v>54</v>
      </c>
      <c r="D120">
        <f>D119+($F119*0.0411)</f>
        <v>16.506100113420704</v>
      </c>
      <c r="E120" s="13"/>
      <c r="F120" s="13"/>
      <c r="G120" s="13"/>
      <c r="H120">
        <f>H119+($F119*0.3121)</f>
        <v>4.3908123189117791</v>
      </c>
      <c r="I120" s="13"/>
      <c r="J120" s="13"/>
      <c r="K120">
        <f>K119+($F119*0.0113)</f>
        <v>5.4415968926050375</v>
      </c>
    </row>
    <row r="121" spans="1:18" x14ac:dyDescent="0.35">
      <c r="B121" s="2" t="s">
        <v>60</v>
      </c>
      <c r="D121">
        <f>D120+($H120*0)</f>
        <v>16.506100113420704</v>
      </c>
      <c r="E121" s="13"/>
      <c r="F121" s="13"/>
      <c r="G121" s="13"/>
      <c r="H121" s="13"/>
      <c r="I121" s="13"/>
      <c r="J121" s="13"/>
      <c r="K121">
        <f>K120+($H120*0)</f>
        <v>5.4415968926050375</v>
      </c>
    </row>
    <row r="122" spans="1:18" x14ac:dyDescent="0.35">
      <c r="B122" s="2" t="s">
        <v>51</v>
      </c>
      <c r="D122">
        <f>D121+(K121*0.4066)</f>
        <v>18.718653409953912</v>
      </c>
      <c r="E122" s="13"/>
      <c r="F122" s="13"/>
      <c r="G122" s="13"/>
      <c r="H122" s="13"/>
      <c r="I122" s="13"/>
      <c r="J122" s="13"/>
      <c r="K122" s="13"/>
    </row>
    <row r="123" spans="1:18" x14ac:dyDescent="0.35">
      <c r="C123" s="2" t="s">
        <v>56</v>
      </c>
      <c r="D123" s="11">
        <f>D122-C111</f>
        <v>2.0519867432872445</v>
      </c>
    </row>
    <row r="125" spans="1:18" x14ac:dyDescent="0.35">
      <c r="A125" t="s">
        <v>14</v>
      </c>
      <c r="B125">
        <v>4</v>
      </c>
      <c r="C125">
        <v>20</v>
      </c>
      <c r="D125" s="6">
        <v>0.35074190233563823</v>
      </c>
      <c r="E125" s="6">
        <v>0.30452965254436859</v>
      </c>
      <c r="F125" s="6">
        <v>5.7995427201301623E-2</v>
      </c>
      <c r="G125" s="6">
        <v>0.18127196163644538</v>
      </c>
      <c r="H125" s="6">
        <v>2.9867626469140034E-2</v>
      </c>
      <c r="I125" s="6">
        <v>1.6374256599088009E-2</v>
      </c>
      <c r="J125" s="6">
        <v>1.3474220205090877E-2</v>
      </c>
      <c r="K125" s="6">
        <v>2.9601250240842626E-2</v>
      </c>
      <c r="L125" s="9">
        <v>4.1746055532957977E-3</v>
      </c>
      <c r="M125" s="9">
        <v>2.4191303975508983E-3</v>
      </c>
      <c r="N125" s="9">
        <v>2.1836398278778017E-3</v>
      </c>
      <c r="O125" s="9">
        <v>5.0309348975616022E-3</v>
      </c>
      <c r="P125" s="9">
        <v>7.7069640983922416E-4</v>
      </c>
      <c r="Q125" s="9">
        <v>1.5628010532850935E-3</v>
      </c>
      <c r="R125" s="9">
        <v>0</v>
      </c>
    </row>
    <row r="126" spans="1:18" x14ac:dyDescent="0.35">
      <c r="A126" s="2" t="s">
        <v>78</v>
      </c>
      <c r="C126" s="2" t="s">
        <v>56</v>
      </c>
      <c r="D126" s="11">
        <f>(D125*100)-C125</f>
        <v>15.074190233563826</v>
      </c>
      <c r="E126">
        <f t="shared" ref="E126:K126" si="47">E125*100</f>
        <v>30.452965254436858</v>
      </c>
      <c r="F126">
        <f t="shared" si="47"/>
        <v>5.7995427201301624</v>
      </c>
      <c r="G126">
        <f t="shared" si="47"/>
        <v>18.127196163644538</v>
      </c>
      <c r="H126">
        <f t="shared" si="47"/>
        <v>2.9867626469140034</v>
      </c>
      <c r="I126">
        <f t="shared" si="47"/>
        <v>1.6374256599088008</v>
      </c>
      <c r="J126">
        <f t="shared" si="47"/>
        <v>1.3474220205090877</v>
      </c>
      <c r="K126">
        <f t="shared" si="47"/>
        <v>2.9601250240842627</v>
      </c>
    </row>
    <row r="127" spans="1:18" x14ac:dyDescent="0.35">
      <c r="C127" s="2" t="s">
        <v>26</v>
      </c>
      <c r="D127">
        <f>D126</f>
        <v>15.074190233563826</v>
      </c>
      <c r="E127" s="11">
        <f>E126-C125</f>
        <v>10.452965254436858</v>
      </c>
      <c r="F127">
        <f t="shared" ref="F127:K127" si="48">F126</f>
        <v>5.7995427201301624</v>
      </c>
      <c r="G127">
        <f t="shared" si="48"/>
        <v>18.127196163644538</v>
      </c>
      <c r="H127">
        <f t="shared" si="48"/>
        <v>2.9867626469140034</v>
      </c>
      <c r="I127">
        <f t="shared" si="48"/>
        <v>1.6374256599088008</v>
      </c>
      <c r="J127">
        <f t="shared" si="48"/>
        <v>1.3474220205090877</v>
      </c>
      <c r="K127">
        <f t="shared" si="48"/>
        <v>2.9601250240842627</v>
      </c>
    </row>
    <row r="128" spans="1:18" x14ac:dyDescent="0.35">
      <c r="B128" s="2" t="s">
        <v>71</v>
      </c>
      <c r="D128">
        <f>D127+($J127*0)</f>
        <v>15.074190233563826</v>
      </c>
      <c r="E128">
        <f t="shared" ref="E128:H128" si="49">E127+($J127*0)</f>
        <v>10.452965254436858</v>
      </c>
      <c r="F128">
        <f t="shared" si="49"/>
        <v>5.7995427201301624</v>
      </c>
      <c r="G128">
        <f>G127+($J127*0.152)</f>
        <v>18.332004310761921</v>
      </c>
      <c r="H128">
        <f t="shared" si="49"/>
        <v>2.9867626469140034</v>
      </c>
      <c r="I128">
        <f>I127+($J127*0.3052)</f>
        <v>2.0486588605681746</v>
      </c>
      <c r="J128" s="13"/>
      <c r="K128">
        <f>K127+($J127*0.2892)</f>
        <v>3.3497994724154907</v>
      </c>
    </row>
    <row r="129" spans="1:18" x14ac:dyDescent="0.35">
      <c r="B129" s="2" t="s">
        <v>79</v>
      </c>
      <c r="D129">
        <f>D128+($I128*0.2936)</f>
        <v>15.675676475026641</v>
      </c>
      <c r="E129">
        <f t="shared" ref="E129:G129" si="50">E128+($I128*0)</f>
        <v>10.452965254436858</v>
      </c>
      <c r="F129">
        <f>F128+($I128*0.058)</f>
        <v>5.9183649340431161</v>
      </c>
      <c r="G129">
        <f t="shared" si="50"/>
        <v>18.332004310761921</v>
      </c>
      <c r="H129">
        <f>H128+($I128*0.0726)</f>
        <v>3.135495280191253</v>
      </c>
      <c r="I129" s="13"/>
      <c r="J129" s="13"/>
      <c r="K129">
        <f>K128+($I128*0.1386)</f>
        <v>3.6337435904902398</v>
      </c>
    </row>
    <row r="130" spans="1:18" x14ac:dyDescent="0.35">
      <c r="B130" s="2" t="s">
        <v>60</v>
      </c>
      <c r="D130">
        <f>D129+($H129*0)</f>
        <v>15.675676475026641</v>
      </c>
      <c r="E130">
        <f>E129+($H129*0.2754)</f>
        <v>11.316480654601529</v>
      </c>
      <c r="F130">
        <f>F129+($H129*0.0436)</f>
        <v>6.0550725282594549</v>
      </c>
      <c r="G130">
        <f>G129+($H129*0.4247)</f>
        <v>19.663649156259147</v>
      </c>
      <c r="H130" s="13"/>
      <c r="I130" s="13"/>
      <c r="J130" s="13"/>
      <c r="K130">
        <f t="shared" ref="K130" si="51">K129+($H129*0)</f>
        <v>3.6337435904902398</v>
      </c>
    </row>
    <row r="131" spans="1:18" x14ac:dyDescent="0.35">
      <c r="B131" s="2" t="s">
        <v>51</v>
      </c>
      <c r="D131">
        <f>D130+($K130*0.4066)</f>
        <v>17.153156618919972</v>
      </c>
      <c r="E131">
        <f>E130+($K130*0.0288)</f>
        <v>11.421132470007647</v>
      </c>
      <c r="F131">
        <f>F130+($K130*0.0345)</f>
        <v>6.1804366821313685</v>
      </c>
      <c r="G131">
        <f t="shared" ref="G131" si="52">G130+($K130*0)</f>
        <v>19.663649156259147</v>
      </c>
      <c r="H131" s="13"/>
      <c r="I131" s="13"/>
      <c r="J131" s="13"/>
      <c r="K131" s="13"/>
    </row>
    <row r="132" spans="1:18" x14ac:dyDescent="0.35">
      <c r="B132" s="2" t="s">
        <v>54</v>
      </c>
      <c r="D132">
        <f>D131+($F131*0.0411)</f>
        <v>17.407172566555573</v>
      </c>
      <c r="E132">
        <f>E131+($F131*0.3462)</f>
        <v>13.560799649361527</v>
      </c>
      <c r="F132" s="13"/>
      <c r="G132">
        <f>G131+($F131*0.1365)</f>
        <v>20.507278763370078</v>
      </c>
      <c r="H132" s="13"/>
      <c r="I132" s="13"/>
      <c r="J132" s="13"/>
      <c r="K132" s="13"/>
    </row>
    <row r="133" spans="1:18" x14ac:dyDescent="0.35">
      <c r="C133" s="2" t="s">
        <v>49</v>
      </c>
      <c r="D133">
        <f>D132</f>
        <v>17.407172566555573</v>
      </c>
      <c r="E133">
        <f t="shared" ref="E133" si="53">E132</f>
        <v>13.560799649361527</v>
      </c>
      <c r="F133" s="13"/>
      <c r="G133" s="11">
        <f>G132-C125</f>
        <v>0.50727876337007771</v>
      </c>
      <c r="H133" s="13"/>
      <c r="I133" s="13"/>
      <c r="J133" s="13"/>
      <c r="K133" s="13"/>
    </row>
    <row r="134" spans="1:18" x14ac:dyDescent="0.35">
      <c r="B134" s="2" t="s">
        <v>80</v>
      </c>
      <c r="D134">
        <f>D133+($G133*0.1061)</f>
        <v>17.460994843349138</v>
      </c>
      <c r="E134">
        <f>E133+($G133*0.5659)</f>
        <v>13.847868701552654</v>
      </c>
      <c r="F134" s="13"/>
      <c r="G134" s="13"/>
      <c r="H134" s="13"/>
      <c r="I134" s="13"/>
      <c r="J134" s="13"/>
      <c r="K134" s="13"/>
    </row>
    <row r="135" spans="1:18" x14ac:dyDescent="0.35">
      <c r="B135" s="2" t="s">
        <v>81</v>
      </c>
      <c r="C135" s="2" t="s">
        <v>56</v>
      </c>
      <c r="D135" s="11">
        <f>D134+(E134*0.1311)</f>
        <v>19.27645043012269</v>
      </c>
      <c r="E135" s="13"/>
      <c r="F135" s="13"/>
      <c r="G135" s="13"/>
      <c r="H135" s="13"/>
      <c r="I135" s="13"/>
      <c r="J135" s="13"/>
      <c r="K135" s="13"/>
    </row>
    <row r="137" spans="1:18" x14ac:dyDescent="0.35">
      <c r="A137" t="s">
        <v>15</v>
      </c>
      <c r="B137">
        <v>4</v>
      </c>
      <c r="C137">
        <v>20</v>
      </c>
      <c r="D137" s="6">
        <v>0.40357071891334756</v>
      </c>
      <c r="E137" s="6">
        <v>0.28450765294853853</v>
      </c>
      <c r="F137" s="6">
        <v>5.4166020025031285E-2</v>
      </c>
      <c r="G137" s="6">
        <v>0.16015595045277184</v>
      </c>
      <c r="H137" s="6">
        <v>2.8715322461900904E-2</v>
      </c>
      <c r="I137" s="6">
        <v>1.7491999190164177E-2</v>
      </c>
      <c r="J137" s="6">
        <v>1.164544467348892E-2</v>
      </c>
      <c r="K137" s="6">
        <v>2.3457262754914228E-2</v>
      </c>
      <c r="L137" s="9">
        <v>4.8222042258705732E-3</v>
      </c>
      <c r="M137" s="9">
        <v>1.4172126923360083E-3</v>
      </c>
      <c r="N137" s="9">
        <v>2.2086431568872854E-3</v>
      </c>
      <c r="O137" s="9">
        <v>5.0246631819185743E-3</v>
      </c>
      <c r="P137" s="9">
        <v>6.8099830670691306E-4</v>
      </c>
      <c r="Q137" s="9">
        <v>2.1350217183243761E-3</v>
      </c>
      <c r="R137" s="9">
        <v>0</v>
      </c>
    </row>
    <row r="138" spans="1:18" x14ac:dyDescent="0.35">
      <c r="A138" s="2" t="s">
        <v>78</v>
      </c>
      <c r="C138" s="2" t="s">
        <v>56</v>
      </c>
      <c r="D138" s="11">
        <f>(D137*100)-C137</f>
        <v>20.357071891334755</v>
      </c>
      <c r="E138">
        <f t="shared" ref="E138:K138" si="54">E137*100</f>
        <v>28.450765294853852</v>
      </c>
      <c r="F138">
        <f t="shared" si="54"/>
        <v>5.4166020025031285</v>
      </c>
      <c r="G138">
        <f t="shared" si="54"/>
        <v>16.015595045277184</v>
      </c>
      <c r="H138">
        <f t="shared" si="54"/>
        <v>2.8715322461900903</v>
      </c>
      <c r="I138">
        <f t="shared" si="54"/>
        <v>1.7491999190164178</v>
      </c>
      <c r="J138">
        <f t="shared" si="54"/>
        <v>1.1645444673488921</v>
      </c>
      <c r="K138">
        <f t="shared" si="54"/>
        <v>2.345726275491423</v>
      </c>
    </row>
    <row r="139" spans="1:18" x14ac:dyDescent="0.35">
      <c r="C139" s="2" t="s">
        <v>26</v>
      </c>
      <c r="D139">
        <f>D138</f>
        <v>20.357071891334755</v>
      </c>
      <c r="E139" s="11">
        <f>E138-C137</f>
        <v>8.4507652948538521</v>
      </c>
      <c r="F139">
        <f t="shared" ref="F139:K140" si="55">F138</f>
        <v>5.4166020025031285</v>
      </c>
      <c r="G139">
        <f t="shared" si="55"/>
        <v>16.015595045277184</v>
      </c>
      <c r="H139">
        <f t="shared" si="55"/>
        <v>2.8715322461900903</v>
      </c>
      <c r="I139">
        <f t="shared" si="55"/>
        <v>1.7491999190164178</v>
      </c>
      <c r="J139">
        <f t="shared" si="55"/>
        <v>1.1645444673488921</v>
      </c>
      <c r="K139">
        <f t="shared" si="55"/>
        <v>2.345726275491423</v>
      </c>
    </row>
    <row r="140" spans="1:18" x14ac:dyDescent="0.35">
      <c r="C140" s="2" t="s">
        <v>56</v>
      </c>
      <c r="D140" s="11">
        <f>D139-C137</f>
        <v>0.35707189133475481</v>
      </c>
      <c r="E140">
        <f t="shared" ref="E140" si="56">E139</f>
        <v>8.4507652948538521</v>
      </c>
      <c r="F140">
        <f t="shared" si="55"/>
        <v>5.4166020025031285</v>
      </c>
      <c r="G140">
        <f t="shared" si="55"/>
        <v>16.015595045277184</v>
      </c>
      <c r="H140">
        <f t="shared" si="55"/>
        <v>2.8715322461900903</v>
      </c>
      <c r="I140">
        <f t="shared" si="55"/>
        <v>1.7491999190164178</v>
      </c>
      <c r="J140">
        <f t="shared" si="55"/>
        <v>1.1645444673488921</v>
      </c>
      <c r="K140">
        <f t="shared" si="55"/>
        <v>2.345726275491423</v>
      </c>
    </row>
    <row r="141" spans="1:18" x14ac:dyDescent="0.35">
      <c r="B141" s="2" t="s">
        <v>82</v>
      </c>
      <c r="D141" s="13"/>
      <c r="E141">
        <f>E140+($D140*0.2701)</f>
        <v>8.5472104127033699</v>
      </c>
      <c r="F141">
        <f>F140+($D140*0.0891)</f>
        <v>5.4484171080210553</v>
      </c>
      <c r="G141">
        <f>G140+($D140*0.1132)</f>
        <v>16.056015583376279</v>
      </c>
      <c r="H141">
        <f>H140+($D140*0.0912)</f>
        <v>2.9040972026798197</v>
      </c>
      <c r="I141">
        <f>I140+($D140*0.0837)</f>
        <v>1.7790868363211367</v>
      </c>
      <c r="J141">
        <f>J140+($D140*0.0419)</f>
        <v>1.1795057795958184</v>
      </c>
      <c r="K141">
        <f>K140+($D140*0.1863)</f>
        <v>2.4122487688470877</v>
      </c>
    </row>
    <row r="142" spans="1:18" x14ac:dyDescent="0.35">
      <c r="B142" s="2" t="s">
        <v>52</v>
      </c>
      <c r="D142" s="13"/>
      <c r="E142">
        <f>E141+($J141*0)</f>
        <v>8.5472104127033699</v>
      </c>
      <c r="F142">
        <f t="shared" ref="F142:H142" si="57">F141+($J141*0)</f>
        <v>5.4484171080210553</v>
      </c>
      <c r="G142">
        <f>G141+($J141*0.152)</f>
        <v>16.235300461874843</v>
      </c>
      <c r="H142">
        <f t="shared" si="57"/>
        <v>2.9040972026798197</v>
      </c>
      <c r="I142">
        <f>I141+($J141*0.3052)</f>
        <v>2.1390720002537806</v>
      </c>
      <c r="J142" s="13"/>
      <c r="K142">
        <f>K141+($J141*0.2892)</f>
        <v>2.7533618403061983</v>
      </c>
    </row>
    <row r="143" spans="1:18" x14ac:dyDescent="0.35">
      <c r="B143" s="2" t="s">
        <v>50</v>
      </c>
      <c r="D143" s="13"/>
      <c r="E143">
        <f>E142+($I142*0)</f>
        <v>8.5472104127033699</v>
      </c>
      <c r="F143">
        <f>F142+($I142*0.058)</f>
        <v>5.5724832840357745</v>
      </c>
      <c r="G143">
        <f t="shared" ref="G143" si="58">G142+($I142*0)</f>
        <v>16.235300461874843</v>
      </c>
      <c r="H143">
        <f>H142+($I142*0.0726)</f>
        <v>3.0593938298982444</v>
      </c>
      <c r="I143" s="13"/>
      <c r="J143" s="13"/>
      <c r="K143">
        <f>K142+($I142*0.1386)</f>
        <v>3.0498372195413723</v>
      </c>
    </row>
    <row r="144" spans="1:18" x14ac:dyDescent="0.35">
      <c r="B144" s="2" t="s">
        <v>51</v>
      </c>
      <c r="D144" s="13"/>
      <c r="E144">
        <f>E143+($K143*0.0288)</f>
        <v>8.6350457246261616</v>
      </c>
      <c r="F144">
        <f>F143+($K143*0.0345)</f>
        <v>5.6777026681099523</v>
      </c>
      <c r="G144">
        <f t="shared" ref="G144:H144" si="59">G143+($K143*0)</f>
        <v>16.235300461874843</v>
      </c>
      <c r="H144">
        <f t="shared" si="59"/>
        <v>3.0593938298982444</v>
      </c>
      <c r="I144" s="13"/>
      <c r="J144" s="13"/>
      <c r="K144" s="13"/>
    </row>
    <row r="145" spans="1:18" x14ac:dyDescent="0.35">
      <c r="B145" s="2" t="s">
        <v>60</v>
      </c>
      <c r="D145" s="13"/>
      <c r="E145">
        <f>E144+($H144*0.2754)</f>
        <v>9.4776027853801388</v>
      </c>
      <c r="F145">
        <f>F144+($H144*0.0436)</f>
        <v>5.811092239093516</v>
      </c>
      <c r="G145">
        <f>G144+($H144*0.4247)</f>
        <v>17.534625021432628</v>
      </c>
      <c r="H145" s="13"/>
      <c r="I145" s="13"/>
      <c r="J145" s="13"/>
      <c r="K145" s="13"/>
    </row>
    <row r="146" spans="1:18" x14ac:dyDescent="0.35">
      <c r="B146" s="2" t="s">
        <v>54</v>
      </c>
      <c r="D146" s="13"/>
      <c r="E146">
        <f>E145+($F145*0.3462)</f>
        <v>11.489402918554314</v>
      </c>
      <c r="F146" s="13"/>
      <c r="G146">
        <f>G145+($F145*0.1365)</f>
        <v>18.327839112068894</v>
      </c>
      <c r="H146" s="13"/>
      <c r="I146" s="13"/>
      <c r="J146" s="13"/>
      <c r="K146" s="13"/>
    </row>
    <row r="147" spans="1:18" x14ac:dyDescent="0.35">
      <c r="C147" s="2" t="s">
        <v>49</v>
      </c>
      <c r="D147" s="13"/>
      <c r="E147">
        <f>E146</f>
        <v>11.489402918554314</v>
      </c>
      <c r="F147" s="13"/>
      <c r="G147" s="11">
        <f>G146</f>
        <v>18.327839112068894</v>
      </c>
      <c r="H147" s="13"/>
      <c r="I147" s="13"/>
      <c r="J147" s="13"/>
      <c r="K147" s="13"/>
    </row>
    <row r="149" spans="1:18" x14ac:dyDescent="0.35">
      <c r="A149" t="s">
        <v>16</v>
      </c>
      <c r="B149">
        <v>4</v>
      </c>
      <c r="C149">
        <v>20</v>
      </c>
      <c r="D149" s="6">
        <v>0.19528452519540992</v>
      </c>
      <c r="E149" s="6">
        <v>0.44848210751704642</v>
      </c>
      <c r="F149" s="6">
        <v>5.225807833028439E-2</v>
      </c>
      <c r="G149" s="6">
        <v>0.16615793696989856</v>
      </c>
      <c r="H149" s="6">
        <v>3.9783504490271085E-2</v>
      </c>
      <c r="I149" s="6">
        <v>1.9585681024447035E-2</v>
      </c>
      <c r="J149" s="6">
        <v>9.2974180941293848E-3</v>
      </c>
      <c r="K149" s="6">
        <v>3.3915807417262599E-2</v>
      </c>
      <c r="L149" s="9">
        <v>7.3590553800099781E-3</v>
      </c>
      <c r="M149" s="9">
        <v>1.1766173291202395E-2</v>
      </c>
      <c r="N149" s="9">
        <v>2.8272077166140029E-3</v>
      </c>
      <c r="O149" s="9">
        <v>5.321802760685182E-3</v>
      </c>
      <c r="P149" s="9">
        <v>1.9956760352569432E-3</v>
      </c>
      <c r="Q149" s="9">
        <v>3.7626808581406952E-3</v>
      </c>
      <c r="R149" s="9">
        <v>2.2035589555962081E-3</v>
      </c>
    </row>
    <row r="150" spans="1:18" x14ac:dyDescent="0.35">
      <c r="A150" s="2" t="s">
        <v>69</v>
      </c>
      <c r="C150" s="2" t="s">
        <v>26</v>
      </c>
      <c r="D150">
        <f>D149*100</f>
        <v>19.528452519540991</v>
      </c>
      <c r="E150" s="11">
        <f>(E149*100)-C149</f>
        <v>24.848210751704642</v>
      </c>
      <c r="F150">
        <f t="shared" ref="F150:K150" si="60">F149*100</f>
        <v>5.2258078330284388</v>
      </c>
      <c r="G150">
        <f t="shared" si="60"/>
        <v>16.615793696989854</v>
      </c>
      <c r="H150">
        <f t="shared" si="60"/>
        <v>3.9783504490271087</v>
      </c>
      <c r="I150">
        <f t="shared" si="60"/>
        <v>1.9585681024447035</v>
      </c>
      <c r="J150">
        <f t="shared" si="60"/>
        <v>0.92974180941293849</v>
      </c>
      <c r="K150">
        <f t="shared" si="60"/>
        <v>3.3915807417262598</v>
      </c>
    </row>
    <row r="151" spans="1:18" x14ac:dyDescent="0.35">
      <c r="C151" s="2" t="s">
        <v>26</v>
      </c>
      <c r="D151">
        <f>D150</f>
        <v>19.528452519540991</v>
      </c>
      <c r="E151">
        <f>E150-C149</f>
        <v>4.8482107517046416</v>
      </c>
      <c r="F151">
        <f t="shared" ref="F151:K151" si="61">F150</f>
        <v>5.2258078330284388</v>
      </c>
      <c r="G151">
        <f t="shared" si="61"/>
        <v>16.615793696989854</v>
      </c>
      <c r="H151">
        <f t="shared" si="61"/>
        <v>3.9783504490271087</v>
      </c>
      <c r="I151">
        <f t="shared" si="61"/>
        <v>1.9585681024447035</v>
      </c>
      <c r="J151">
        <f t="shared" si="61"/>
        <v>0.92974180941293849</v>
      </c>
      <c r="K151">
        <f t="shared" si="61"/>
        <v>3.3915807417262598</v>
      </c>
    </row>
    <row r="152" spans="1:18" x14ac:dyDescent="0.35">
      <c r="B152" s="2" t="s">
        <v>52</v>
      </c>
      <c r="D152">
        <f>D151+($J151*0)</f>
        <v>19.528452519540991</v>
      </c>
      <c r="E152">
        <f t="shared" ref="E152:H152" si="62">E151+($J151*0)</f>
        <v>4.8482107517046416</v>
      </c>
      <c r="F152">
        <f t="shared" si="62"/>
        <v>5.2258078330284388</v>
      </c>
      <c r="G152">
        <f>G151+($J151*0.152)</f>
        <v>16.75711445202062</v>
      </c>
      <c r="H152">
        <f t="shared" si="62"/>
        <v>3.9783504490271087</v>
      </c>
      <c r="I152">
        <f>I151+($J151*0.3052)</f>
        <v>2.2423253026775325</v>
      </c>
      <c r="J152" s="13"/>
      <c r="K152">
        <f>K151+($J151*0.2892)</f>
        <v>3.6604620730084818</v>
      </c>
    </row>
    <row r="153" spans="1:18" x14ac:dyDescent="0.35">
      <c r="B153" s="2" t="s">
        <v>50</v>
      </c>
      <c r="D153">
        <f>D152+($I152*0.2936)</f>
        <v>20.186799228407114</v>
      </c>
      <c r="E153">
        <f t="shared" ref="E153:G153" si="63">E152+($I152*0)</f>
        <v>4.8482107517046416</v>
      </c>
      <c r="F153">
        <f>F152+($I152*0.058)</f>
        <v>5.355862700583736</v>
      </c>
      <c r="G153">
        <f t="shared" si="63"/>
        <v>16.75711445202062</v>
      </c>
      <c r="H153">
        <f>H152+($I152*0.0726)</f>
        <v>4.1411432660014977</v>
      </c>
      <c r="I153" s="13"/>
      <c r="J153" s="13"/>
      <c r="K153">
        <f>K152+($I152*0.1386)</f>
        <v>3.9712483599595876</v>
      </c>
    </row>
    <row r="154" spans="1:18" x14ac:dyDescent="0.35">
      <c r="C154" s="2" t="s">
        <v>56</v>
      </c>
      <c r="D154" s="11">
        <f>D153-C149</f>
        <v>0.18679922840711427</v>
      </c>
      <c r="E154">
        <f t="shared" ref="E154:K154" si="64">E153</f>
        <v>4.8482107517046416</v>
      </c>
      <c r="F154">
        <f t="shared" si="64"/>
        <v>5.355862700583736</v>
      </c>
      <c r="G154">
        <f t="shared" si="64"/>
        <v>16.75711445202062</v>
      </c>
      <c r="H154">
        <f t="shared" si="64"/>
        <v>4.1411432660014977</v>
      </c>
      <c r="I154" s="13"/>
      <c r="J154" s="13"/>
      <c r="K154">
        <f t="shared" si="64"/>
        <v>3.9712483599595876</v>
      </c>
    </row>
    <row r="155" spans="1:18" x14ac:dyDescent="0.35">
      <c r="B155" s="2" t="s">
        <v>72</v>
      </c>
      <c r="D155" s="13"/>
      <c r="E155">
        <f>E154+($D154*0.0985)</f>
        <v>4.8666104757027426</v>
      </c>
      <c r="F155">
        <f>F154+($D154*0.1445)</f>
        <v>5.3828551890885636</v>
      </c>
      <c r="G155">
        <f>G154+($D154*0.2051)</f>
        <v>16.795426973766919</v>
      </c>
      <c r="H155">
        <f>H154+($D154*0.0441)</f>
        <v>4.1493811119742512</v>
      </c>
      <c r="I155" s="13"/>
      <c r="J155" s="13"/>
      <c r="K155">
        <f>K154+($D154*0.2323)</f>
        <v>4.0146418207185599</v>
      </c>
    </row>
    <row r="156" spans="1:18" x14ac:dyDescent="0.35">
      <c r="B156" s="2" t="s">
        <v>51</v>
      </c>
      <c r="D156" s="13"/>
      <c r="E156">
        <f>E155+($K155*0.0288)</f>
        <v>4.9822321601394375</v>
      </c>
      <c r="F156">
        <f>F155+($K155*0.0345)</f>
        <v>5.5213603319033542</v>
      </c>
      <c r="G156">
        <f t="shared" ref="G156:H156" si="65">G155+($K155*0)</f>
        <v>16.795426973766919</v>
      </c>
      <c r="H156">
        <f t="shared" si="65"/>
        <v>4.1493811119742512</v>
      </c>
      <c r="I156" s="13"/>
      <c r="J156" s="13"/>
      <c r="K156" s="13"/>
    </row>
    <row r="157" spans="1:18" x14ac:dyDescent="0.35">
      <c r="B157" s="2" t="s">
        <v>60</v>
      </c>
      <c r="D157" s="13"/>
      <c r="E157">
        <f>E156+($H156*0.2754)</f>
        <v>6.1249717183771466</v>
      </c>
      <c r="F157">
        <f>F156+($H156*0.0436)</f>
        <v>5.7022733483854315</v>
      </c>
      <c r="G157">
        <f>G156+($H156*0.4247)</f>
        <v>18.557669132022383</v>
      </c>
      <c r="H157" s="13"/>
      <c r="I157" s="13"/>
      <c r="J157" s="13"/>
      <c r="K157" s="13"/>
    </row>
    <row r="158" spans="1:18" x14ac:dyDescent="0.35">
      <c r="B158" s="2" t="s">
        <v>54</v>
      </c>
      <c r="D158" s="13"/>
      <c r="E158">
        <f>E157+($F157*0.3462)</f>
        <v>8.0990987515881834</v>
      </c>
      <c r="F158" s="13"/>
      <c r="G158">
        <f>G157+($F157*0.1365)</f>
        <v>19.336029444076996</v>
      </c>
      <c r="H158" s="13"/>
      <c r="I158" s="13"/>
      <c r="J158" s="13"/>
      <c r="K158" s="13"/>
    </row>
    <row r="159" spans="1:18" x14ac:dyDescent="0.35">
      <c r="C159" s="2" t="s">
        <v>49</v>
      </c>
      <c r="D159" s="13"/>
      <c r="E159">
        <f>E158+($F158*0.3462)</f>
        <v>8.0990987515881834</v>
      </c>
      <c r="F159" s="13"/>
      <c r="G159" s="11">
        <f>G158+($F158*0.1365)</f>
        <v>19.336029444076996</v>
      </c>
      <c r="H159" s="13"/>
      <c r="I159" s="13"/>
      <c r="J159" s="13"/>
      <c r="K159" s="13"/>
    </row>
    <row r="161" spans="1:18" x14ac:dyDescent="0.35">
      <c r="A161" s="2" t="s">
        <v>17</v>
      </c>
      <c r="B161">
        <v>5</v>
      </c>
      <c r="C161">
        <v>16.666666666666668</v>
      </c>
      <c r="D161" s="6">
        <v>0.36048491979839409</v>
      </c>
      <c r="E161" s="6">
        <v>0.35512088308004824</v>
      </c>
      <c r="F161" s="6">
        <v>6.7310553649795893E-2</v>
      </c>
      <c r="G161" s="6">
        <v>9.7766418811444766E-2</v>
      </c>
      <c r="H161" s="6">
        <v>3.3396155688852264E-2</v>
      </c>
      <c r="I161" s="6">
        <v>2.0804398152584277E-2</v>
      </c>
      <c r="J161" s="6">
        <v>1.5058962074318238E-2</v>
      </c>
      <c r="K161" s="6">
        <v>3.1369425653015461E-2</v>
      </c>
      <c r="L161" s="9">
        <v>4.2544221076637094E-3</v>
      </c>
      <c r="M161" s="9">
        <v>2.012226672543646E-3</v>
      </c>
      <c r="N161" s="9">
        <v>2.7021329602728962E-3</v>
      </c>
      <c r="O161" s="9">
        <v>6.1899925260152167E-3</v>
      </c>
      <c r="P161" s="9">
        <v>1.0156953680458404E-3</v>
      </c>
      <c r="Q161" s="9">
        <v>2.5104923247925492E-3</v>
      </c>
      <c r="R161" s="9">
        <v>0</v>
      </c>
    </row>
    <row r="162" spans="1:18" x14ac:dyDescent="0.35">
      <c r="A162" s="2" t="s">
        <v>83</v>
      </c>
      <c r="C162" s="2" t="s">
        <v>56</v>
      </c>
      <c r="D162" s="11">
        <f>(D161*100)-C161</f>
        <v>19.381825313172744</v>
      </c>
      <c r="E162">
        <f t="shared" ref="E162:K162" si="66">E161*100</f>
        <v>35.512088308004827</v>
      </c>
      <c r="F162">
        <f t="shared" si="66"/>
        <v>6.7310553649795892</v>
      </c>
      <c r="G162">
        <f t="shared" si="66"/>
        <v>9.7766418811444762</v>
      </c>
      <c r="H162">
        <f t="shared" si="66"/>
        <v>3.3396155688852263</v>
      </c>
      <c r="I162">
        <f t="shared" si="66"/>
        <v>2.0804398152584276</v>
      </c>
      <c r="J162">
        <f t="shared" si="66"/>
        <v>1.5058962074318238</v>
      </c>
      <c r="K162">
        <f t="shared" si="66"/>
        <v>3.1369425653015459</v>
      </c>
    </row>
    <row r="163" spans="1:18" x14ac:dyDescent="0.35">
      <c r="C163" s="2" t="s">
        <v>26</v>
      </c>
      <c r="D163">
        <f>D162</f>
        <v>19.381825313172744</v>
      </c>
      <c r="E163" s="11">
        <f>E162-C161</f>
        <v>18.845421641338159</v>
      </c>
      <c r="F163">
        <f t="shared" ref="F163:K165" si="67">F162</f>
        <v>6.7310553649795892</v>
      </c>
      <c r="G163">
        <f t="shared" si="67"/>
        <v>9.7766418811444762</v>
      </c>
      <c r="H163">
        <f t="shared" si="67"/>
        <v>3.3396155688852263</v>
      </c>
      <c r="I163">
        <f t="shared" si="67"/>
        <v>2.0804398152584276</v>
      </c>
      <c r="J163">
        <f t="shared" si="67"/>
        <v>1.5058962074318238</v>
      </c>
      <c r="K163">
        <f t="shared" si="67"/>
        <v>3.1369425653015459</v>
      </c>
    </row>
    <row r="164" spans="1:18" x14ac:dyDescent="0.35">
      <c r="C164" s="2" t="s">
        <v>56</v>
      </c>
      <c r="D164" s="11">
        <f>D163-C161</f>
        <v>2.715158646506076</v>
      </c>
      <c r="E164">
        <f t="shared" ref="E164" si="68">E163</f>
        <v>18.845421641338159</v>
      </c>
      <c r="F164">
        <f t="shared" si="67"/>
        <v>6.7310553649795892</v>
      </c>
      <c r="G164">
        <f t="shared" si="67"/>
        <v>9.7766418811444762</v>
      </c>
      <c r="H164">
        <f t="shared" si="67"/>
        <v>3.3396155688852263</v>
      </c>
      <c r="I164">
        <f t="shared" si="67"/>
        <v>2.0804398152584276</v>
      </c>
      <c r="J164">
        <f t="shared" si="67"/>
        <v>1.5058962074318238</v>
      </c>
      <c r="K164">
        <f t="shared" si="67"/>
        <v>3.1369425653015459</v>
      </c>
    </row>
    <row r="165" spans="1:18" x14ac:dyDescent="0.35">
      <c r="C165" s="2" t="s">
        <v>26</v>
      </c>
      <c r="D165">
        <f>D164</f>
        <v>2.715158646506076</v>
      </c>
      <c r="E165" s="11">
        <f>E164-C161</f>
        <v>2.1787549746714916</v>
      </c>
      <c r="F165">
        <f t="shared" si="67"/>
        <v>6.7310553649795892</v>
      </c>
      <c r="G165">
        <f t="shared" si="67"/>
        <v>9.7766418811444762</v>
      </c>
      <c r="H165">
        <f t="shared" si="67"/>
        <v>3.3396155688852263</v>
      </c>
      <c r="I165">
        <f t="shared" si="67"/>
        <v>2.0804398152584276</v>
      </c>
      <c r="J165">
        <f t="shared" si="67"/>
        <v>1.5058962074318238</v>
      </c>
      <c r="K165">
        <f t="shared" si="67"/>
        <v>3.1369425653015459</v>
      </c>
    </row>
    <row r="166" spans="1:18" x14ac:dyDescent="0.35">
      <c r="B166" s="2" t="s">
        <v>52</v>
      </c>
      <c r="D166">
        <f>D165+($J165*0)</f>
        <v>2.715158646506076</v>
      </c>
      <c r="E166">
        <f t="shared" ref="E166:H166" si="69">E165+($J165*0)</f>
        <v>2.1787549746714916</v>
      </c>
      <c r="F166">
        <f t="shared" si="69"/>
        <v>6.7310553649795892</v>
      </c>
      <c r="G166">
        <f>G165+($J165*0.152)</f>
        <v>10.005538104674113</v>
      </c>
      <c r="H166">
        <f t="shared" si="69"/>
        <v>3.3396155688852263</v>
      </c>
      <c r="I166">
        <f>I165+($J165*0.3052)</f>
        <v>2.5400393377666202</v>
      </c>
      <c r="J166" s="13"/>
      <c r="K166">
        <f>K165+($J165*0.2892)</f>
        <v>3.5724477484908292</v>
      </c>
    </row>
    <row r="167" spans="1:18" x14ac:dyDescent="0.35">
      <c r="B167" s="2" t="s">
        <v>81</v>
      </c>
      <c r="D167">
        <f>D166+($E166*0.1311)</f>
        <v>3.0007934236855087</v>
      </c>
      <c r="E167" s="13"/>
      <c r="F167">
        <f>F166+($E166*0.2872)</f>
        <v>7.3567937937052417</v>
      </c>
      <c r="G167">
        <f>G166+($E166*0.3029)</f>
        <v>10.665482986502107</v>
      </c>
      <c r="H167">
        <f>H166+($E166*0.1219)</f>
        <v>3.6052058002976812</v>
      </c>
      <c r="I167">
        <f t="shared" ref="I167:K167" si="70">I166+($E166*0)</f>
        <v>2.5400393377666202</v>
      </c>
      <c r="J167" s="13"/>
      <c r="K167">
        <f t="shared" si="70"/>
        <v>3.5724477484908292</v>
      </c>
    </row>
    <row r="168" spans="1:18" x14ac:dyDescent="0.35">
      <c r="B168" s="2" t="s">
        <v>50</v>
      </c>
      <c r="D168">
        <f>D167+($I167*0.2936)</f>
        <v>3.7465489732537884</v>
      </c>
      <c r="E168" s="13"/>
      <c r="F168">
        <f>F167+($I167*0.058)</f>
        <v>7.5041160752957055</v>
      </c>
      <c r="G168">
        <f t="shared" ref="G168" si="71">G167+($I167*0)</f>
        <v>10.665482986502107</v>
      </c>
      <c r="H168">
        <f>H167+($I167*0.0726)</f>
        <v>3.7896126562195378</v>
      </c>
      <c r="I168" s="13"/>
      <c r="J168" s="13"/>
      <c r="K168">
        <f>K167+($I167*0.1386)</f>
        <v>3.9244972007052827</v>
      </c>
    </row>
    <row r="169" spans="1:18" x14ac:dyDescent="0.35">
      <c r="B169" s="2" t="s">
        <v>82</v>
      </c>
      <c r="D169" s="13"/>
      <c r="E169" s="13"/>
      <c r="F169">
        <f>F168+($H168*0.0891)</f>
        <v>7.8417705629648662</v>
      </c>
      <c r="G169">
        <f>G168+($H168*0.1132)</f>
        <v>11.094467139186159</v>
      </c>
      <c r="H169">
        <f>H168+($H168*0.0921)</f>
        <v>4.138635981857357</v>
      </c>
      <c r="I169" s="13"/>
      <c r="J169" s="13"/>
      <c r="K169">
        <f t="shared" ref="K169" si="72">K168+($H168*0)</f>
        <v>3.9244972007052827</v>
      </c>
    </row>
    <row r="170" spans="1:18" x14ac:dyDescent="0.35">
      <c r="B170" s="2" t="s">
        <v>51</v>
      </c>
      <c r="D170" s="13"/>
      <c r="E170" s="13"/>
      <c r="F170">
        <f>F169+($K169*0.0345)</f>
        <v>7.977165716389198</v>
      </c>
      <c r="G170">
        <f t="shared" ref="G170:H170" si="73">G169+($K169*0)</f>
        <v>11.094467139186159</v>
      </c>
      <c r="H170">
        <f t="shared" si="73"/>
        <v>4.138635981857357</v>
      </c>
      <c r="I170" s="13"/>
      <c r="J170" s="13"/>
      <c r="K170" s="13"/>
    </row>
    <row r="171" spans="1:18" x14ac:dyDescent="0.35">
      <c r="B171" s="2" t="s">
        <v>100</v>
      </c>
      <c r="D171" s="13"/>
      <c r="E171" s="13"/>
      <c r="F171">
        <f>F170+($H170*0.0436)</f>
        <v>8.1576102451981782</v>
      </c>
      <c r="G171">
        <f>G170+($H170*0.4247)</f>
        <v>12.852145840680979</v>
      </c>
      <c r="H171" s="13"/>
      <c r="I171" s="13"/>
      <c r="J171" s="13"/>
      <c r="K171" s="13"/>
    </row>
    <row r="172" spans="1:18" x14ac:dyDescent="0.35">
      <c r="C172" s="2" t="s">
        <v>49</v>
      </c>
      <c r="D172" s="13"/>
      <c r="E172" s="13"/>
      <c r="F172">
        <f>F171+($H171*0.0436)</f>
        <v>8.1576102451981782</v>
      </c>
      <c r="G172" s="11">
        <f>G171+($H171*0.4247)</f>
        <v>12.852145840680979</v>
      </c>
      <c r="H172" s="13"/>
      <c r="I172" s="13"/>
      <c r="J172" s="13"/>
      <c r="K172" s="13"/>
    </row>
    <row r="174" spans="1:18" x14ac:dyDescent="0.35">
      <c r="A174" t="s">
        <v>18</v>
      </c>
      <c r="B174">
        <v>4</v>
      </c>
      <c r="C174">
        <v>20</v>
      </c>
      <c r="D174" s="6">
        <v>0.28340303255826088</v>
      </c>
      <c r="E174" s="6">
        <v>0.2296554156251408</v>
      </c>
      <c r="F174" s="6">
        <v>4.1462046339334445E-2</v>
      </c>
      <c r="G174" s="6">
        <v>0.32487810671413242</v>
      </c>
      <c r="H174" s="6">
        <v>3.1551955928707347E-2</v>
      </c>
      <c r="I174" s="6">
        <v>1.5905793656403055E-2</v>
      </c>
      <c r="J174" s="6">
        <v>9.2399877996136876E-3</v>
      </c>
      <c r="K174" s="6">
        <v>2.539754359849351E-2</v>
      </c>
      <c r="L174" s="9">
        <v>7.1648118706942234E-3</v>
      </c>
      <c r="M174" s="9">
        <v>1.7996820349761525E-2</v>
      </c>
      <c r="N174" s="9">
        <v>2.4589295177530474E-3</v>
      </c>
      <c r="O174" s="9">
        <v>6.1473237943826175E-3</v>
      </c>
      <c r="P174" s="9">
        <v>5.2994170641229468E-4</v>
      </c>
      <c r="Q174" s="9">
        <v>7.4191838897721247E-4</v>
      </c>
      <c r="R174" s="9">
        <v>3.5612082670906202E-3</v>
      </c>
    </row>
    <row r="175" spans="1:18" x14ac:dyDescent="0.35">
      <c r="A175" s="2" t="s">
        <v>84</v>
      </c>
      <c r="C175" s="2" t="s">
        <v>49</v>
      </c>
      <c r="D175">
        <f>D174*100</f>
        <v>28.34030325582609</v>
      </c>
      <c r="E175">
        <f t="shared" ref="E175:K175" si="74">E174*100</f>
        <v>22.96554156251408</v>
      </c>
      <c r="F175">
        <f t="shared" si="74"/>
        <v>4.1462046339334444</v>
      </c>
      <c r="G175" s="11">
        <f>(G174*100)-C174</f>
        <v>12.487810671413243</v>
      </c>
      <c r="H175">
        <f t="shared" si="74"/>
        <v>3.1551955928707347</v>
      </c>
      <c r="I175">
        <f t="shared" si="74"/>
        <v>1.5905793656403056</v>
      </c>
      <c r="J175">
        <f t="shared" si="74"/>
        <v>0.92399877996136881</v>
      </c>
      <c r="K175">
        <f t="shared" si="74"/>
        <v>2.5397543598493511</v>
      </c>
    </row>
    <row r="176" spans="1:18" x14ac:dyDescent="0.35">
      <c r="C176" s="2" t="s">
        <v>56</v>
      </c>
      <c r="D176" s="11">
        <f>D175-C174</f>
        <v>8.3403032558260897</v>
      </c>
      <c r="E176">
        <f t="shared" ref="E176:K177" si="75">E175</f>
        <v>22.96554156251408</v>
      </c>
      <c r="F176">
        <f t="shared" si="75"/>
        <v>4.1462046339334444</v>
      </c>
      <c r="G176">
        <f t="shared" si="75"/>
        <v>12.487810671413243</v>
      </c>
      <c r="H176">
        <f t="shared" si="75"/>
        <v>3.1551955928707347</v>
      </c>
      <c r="I176">
        <f t="shared" si="75"/>
        <v>1.5905793656403056</v>
      </c>
      <c r="J176">
        <f t="shared" si="75"/>
        <v>0.92399877996136881</v>
      </c>
      <c r="K176">
        <f t="shared" si="75"/>
        <v>2.5397543598493511</v>
      </c>
    </row>
    <row r="177" spans="1:18" x14ac:dyDescent="0.35">
      <c r="C177" s="2" t="s">
        <v>26</v>
      </c>
      <c r="D177">
        <f>D176</f>
        <v>8.3403032558260897</v>
      </c>
      <c r="E177" s="11">
        <f>E176-C174</f>
        <v>2.9655415625140797</v>
      </c>
      <c r="F177">
        <f t="shared" si="75"/>
        <v>4.1462046339334444</v>
      </c>
      <c r="G177">
        <f t="shared" si="75"/>
        <v>12.487810671413243</v>
      </c>
      <c r="H177">
        <f t="shared" si="75"/>
        <v>3.1551955928707347</v>
      </c>
      <c r="I177">
        <f t="shared" si="75"/>
        <v>1.5905793656403056</v>
      </c>
      <c r="J177">
        <f t="shared" si="75"/>
        <v>0.92399877996136881</v>
      </c>
      <c r="K177">
        <f t="shared" si="75"/>
        <v>2.5397543598493511</v>
      </c>
    </row>
    <row r="178" spans="1:18" x14ac:dyDescent="0.35">
      <c r="B178" s="2" t="s">
        <v>52</v>
      </c>
      <c r="D178">
        <f>D177+($J177*0)</f>
        <v>8.3403032558260897</v>
      </c>
      <c r="E178">
        <f t="shared" ref="E178:H178" si="76">E177+($J177*0)</f>
        <v>2.9655415625140797</v>
      </c>
      <c r="F178">
        <f t="shared" si="76"/>
        <v>4.1462046339334444</v>
      </c>
      <c r="G178">
        <f>G177+($J177*0.152)</f>
        <v>12.62825848596737</v>
      </c>
      <c r="H178">
        <f t="shared" si="76"/>
        <v>3.1551955928707347</v>
      </c>
      <c r="I178">
        <f>I177+($J177*0.3052)</f>
        <v>1.8725837932845153</v>
      </c>
      <c r="J178" s="13"/>
      <c r="K178">
        <f>K177+($J177*0.2892)</f>
        <v>2.8069748070141789</v>
      </c>
    </row>
    <row r="179" spans="1:18" x14ac:dyDescent="0.35">
      <c r="B179" s="2" t="s">
        <v>50</v>
      </c>
      <c r="D179">
        <f>D178+($I178*0.2936)</f>
        <v>8.8900938575344242</v>
      </c>
      <c r="E179">
        <f t="shared" ref="E179:G179" si="77">E178+($I178*0)</f>
        <v>2.9655415625140797</v>
      </c>
      <c r="F179">
        <f>F178+($I178*0.058)</f>
        <v>4.2548144939439467</v>
      </c>
      <c r="G179">
        <f t="shared" si="77"/>
        <v>12.62825848596737</v>
      </c>
      <c r="H179">
        <f>H178+($I178*0.0726)</f>
        <v>3.2911451762631905</v>
      </c>
      <c r="I179" s="13"/>
      <c r="J179" s="13"/>
      <c r="K179">
        <f>K178+($I178*0.1386)</f>
        <v>3.0665149207634128</v>
      </c>
    </row>
    <row r="180" spans="1:18" x14ac:dyDescent="0.35">
      <c r="B180" s="2" t="s">
        <v>101</v>
      </c>
      <c r="D180">
        <f>D179+($E179*((0.043+0.1311)/2))</f>
        <v>9.148244250551274</v>
      </c>
      <c r="E180" s="13"/>
      <c r="F180">
        <f>F179+($E179*((0.173+0.2872)/2))</f>
        <v>4.9371856074784368</v>
      </c>
      <c r="G180">
        <f>G179+($E179*((0.3574+0.3029)/2))</f>
        <v>13.607332032831394</v>
      </c>
      <c r="H180">
        <f>H179+($E179*((0.1368+0.1219)/2))</f>
        <v>3.6747379773743867</v>
      </c>
      <c r="I180" s="13"/>
      <c r="J180" s="13"/>
      <c r="K180">
        <f>K179+($E179*((0.0365+0)/2))</f>
        <v>3.1206360542792946</v>
      </c>
    </row>
    <row r="181" spans="1:18" x14ac:dyDescent="0.35">
      <c r="B181" s="2" t="s">
        <v>51</v>
      </c>
      <c r="D181">
        <f>D180+($K180*0.4066)</f>
        <v>10.417094870221234</v>
      </c>
      <c r="E181" s="13"/>
      <c r="F181">
        <f>F180+($K180*0.0345)</f>
        <v>5.0448475513510722</v>
      </c>
      <c r="G181">
        <f t="shared" ref="G181:H181" si="78">G180+($K180*0)</f>
        <v>13.607332032831394</v>
      </c>
      <c r="H181">
        <f t="shared" si="78"/>
        <v>3.6747379773743867</v>
      </c>
      <c r="I181" s="13"/>
      <c r="J181" s="13"/>
      <c r="K181" s="13"/>
    </row>
    <row r="182" spans="1:18" x14ac:dyDescent="0.35">
      <c r="B182" s="2" t="s">
        <v>60</v>
      </c>
      <c r="D182">
        <f>D181+($H181*0)</f>
        <v>10.417094870221234</v>
      </c>
      <c r="E182" s="13"/>
      <c r="F182">
        <f>F181+($H181*0.0436)</f>
        <v>5.2050661271645957</v>
      </c>
      <c r="G182">
        <f>G181+($H181*0.4247)</f>
        <v>15.167993251822296</v>
      </c>
      <c r="H182" s="13"/>
      <c r="I182" s="13"/>
      <c r="J182" s="13"/>
      <c r="K182" s="13"/>
    </row>
    <row r="183" spans="1:18" x14ac:dyDescent="0.35">
      <c r="B183" s="2" t="s">
        <v>85</v>
      </c>
      <c r="D183">
        <f>D182+($F182*0.0411)</f>
        <v>10.6310230880477</v>
      </c>
      <c r="E183" s="13"/>
      <c r="F183" s="13"/>
      <c r="G183">
        <f>G182+($F182*0.1365)</f>
        <v>15.878484778180264</v>
      </c>
      <c r="H183" s="13"/>
      <c r="I183" s="13"/>
      <c r="J183" s="13"/>
      <c r="K183" s="13"/>
    </row>
    <row r="184" spans="1:18" x14ac:dyDescent="0.35">
      <c r="C184" s="2" t="s">
        <v>49</v>
      </c>
      <c r="D184">
        <v>10.6310230880477</v>
      </c>
      <c r="E184" s="13"/>
      <c r="F184" s="13"/>
      <c r="G184" s="11">
        <v>15.878484778180264</v>
      </c>
      <c r="H184" s="13"/>
      <c r="I184" s="13"/>
      <c r="J184" s="13"/>
      <c r="K184" s="13"/>
    </row>
    <row r="186" spans="1:18" x14ac:dyDescent="0.35">
      <c r="A186" t="s">
        <v>19</v>
      </c>
      <c r="B186">
        <v>5</v>
      </c>
      <c r="C186">
        <v>16.666666666666668</v>
      </c>
      <c r="D186" s="6">
        <v>0.22321489052908847</v>
      </c>
      <c r="E186" s="6">
        <v>0.4280191751557611</v>
      </c>
      <c r="F186" s="6">
        <v>3.038074707695133E-2</v>
      </c>
      <c r="G186" s="6">
        <v>0.199924594187217</v>
      </c>
      <c r="H186" s="6">
        <v>2.517391609112038E-2</v>
      </c>
      <c r="I186" s="6">
        <v>2.6239027702760861E-2</v>
      </c>
      <c r="J186" s="6">
        <v>8.9285662769845019E-3</v>
      </c>
      <c r="K186" s="6">
        <v>3.0167776262335973E-2</v>
      </c>
      <c r="L186" s="9">
        <v>8.3579928225146378E-3</v>
      </c>
      <c r="M186" s="9">
        <v>3.5730025813763143E-3</v>
      </c>
      <c r="N186" s="9">
        <v>1.873071837814015E-3</v>
      </c>
      <c r="O186" s="9">
        <v>5.7608764087389028E-3</v>
      </c>
      <c r="P186" s="9">
        <v>1.6527104451300133E-3</v>
      </c>
      <c r="Q186" s="9">
        <v>3.793363974060316E-3</v>
      </c>
      <c r="R186" s="9">
        <v>3.0535792986211671E-3</v>
      </c>
    </row>
    <row r="187" spans="1:18" x14ac:dyDescent="0.35">
      <c r="A187" t="s">
        <v>86</v>
      </c>
      <c r="C187" s="2" t="s">
        <v>26</v>
      </c>
      <c r="D187">
        <f>D186*100</f>
        <v>22.321489052908845</v>
      </c>
      <c r="E187" s="11">
        <f>(E186*100)-C186</f>
        <v>26.13525084890944</v>
      </c>
      <c r="F187">
        <f t="shared" ref="F187:K187" si="79">F186*100</f>
        <v>3.0380747076951331</v>
      </c>
      <c r="G187">
        <f t="shared" si="79"/>
        <v>19.992459418721701</v>
      </c>
      <c r="H187">
        <f t="shared" si="79"/>
        <v>2.5173916091120381</v>
      </c>
      <c r="I187">
        <f t="shared" si="79"/>
        <v>2.6239027702760862</v>
      </c>
      <c r="J187">
        <f t="shared" si="79"/>
        <v>0.8928566276984502</v>
      </c>
      <c r="K187">
        <f t="shared" si="79"/>
        <v>3.0167776262335972</v>
      </c>
    </row>
    <row r="188" spans="1:18" x14ac:dyDescent="0.35">
      <c r="C188" s="2" t="s">
        <v>26</v>
      </c>
      <c r="D188">
        <f>D187</f>
        <v>22.321489052908845</v>
      </c>
      <c r="E188" s="11">
        <f>E187-C186</f>
        <v>9.4685841822427719</v>
      </c>
      <c r="F188">
        <f t="shared" ref="F188:K190" si="80">F187</f>
        <v>3.0380747076951331</v>
      </c>
      <c r="G188">
        <f t="shared" si="80"/>
        <v>19.992459418721701</v>
      </c>
      <c r="H188">
        <f t="shared" si="80"/>
        <v>2.5173916091120381</v>
      </c>
      <c r="I188">
        <f t="shared" si="80"/>
        <v>2.6239027702760862</v>
      </c>
      <c r="J188">
        <f t="shared" si="80"/>
        <v>0.8928566276984502</v>
      </c>
      <c r="K188">
        <f t="shared" si="80"/>
        <v>3.0167776262335972</v>
      </c>
    </row>
    <row r="189" spans="1:18" x14ac:dyDescent="0.35">
      <c r="C189" s="2" t="s">
        <v>56</v>
      </c>
      <c r="D189" s="11">
        <f>D188-C186</f>
        <v>5.6548223862421771</v>
      </c>
      <c r="E189">
        <f t="shared" ref="E189:E190" si="81">E188</f>
        <v>9.4685841822427719</v>
      </c>
      <c r="F189">
        <f t="shared" si="80"/>
        <v>3.0380747076951331</v>
      </c>
      <c r="G189">
        <f t="shared" si="80"/>
        <v>19.992459418721701</v>
      </c>
      <c r="H189">
        <f t="shared" si="80"/>
        <v>2.5173916091120381</v>
      </c>
      <c r="I189">
        <f t="shared" si="80"/>
        <v>2.6239027702760862</v>
      </c>
      <c r="J189">
        <f t="shared" si="80"/>
        <v>0.8928566276984502</v>
      </c>
      <c r="K189">
        <f t="shared" si="80"/>
        <v>3.0167776262335972</v>
      </c>
    </row>
    <row r="190" spans="1:18" x14ac:dyDescent="0.35">
      <c r="C190" s="2" t="s">
        <v>49</v>
      </c>
      <c r="D190">
        <f>D189</f>
        <v>5.6548223862421771</v>
      </c>
      <c r="E190">
        <f t="shared" si="81"/>
        <v>9.4685841822427719</v>
      </c>
      <c r="F190">
        <f t="shared" si="80"/>
        <v>3.0380747076951331</v>
      </c>
      <c r="G190" s="11">
        <f>G189-C186</f>
        <v>3.3257927520550332</v>
      </c>
      <c r="H190">
        <f t="shared" si="80"/>
        <v>2.5173916091120381</v>
      </c>
      <c r="I190">
        <f t="shared" si="80"/>
        <v>2.6239027702760862</v>
      </c>
      <c r="J190">
        <f t="shared" si="80"/>
        <v>0.8928566276984502</v>
      </c>
      <c r="K190">
        <f t="shared" si="80"/>
        <v>3.0167776262335972</v>
      </c>
    </row>
    <row r="191" spans="1:18" x14ac:dyDescent="0.35">
      <c r="B191" s="2" t="s">
        <v>52</v>
      </c>
      <c r="D191">
        <f>D190+($J190*0)</f>
        <v>5.6548223862421771</v>
      </c>
      <c r="E191">
        <f t="shared" ref="E191:H191" si="82">E190+($J190*0)</f>
        <v>9.4685841822427719</v>
      </c>
      <c r="F191">
        <f t="shared" si="82"/>
        <v>3.0380747076951331</v>
      </c>
      <c r="G191">
        <f>G190+($J190*0.152)</f>
        <v>3.4615069594651975</v>
      </c>
      <c r="H191">
        <f t="shared" si="82"/>
        <v>2.5173916091120381</v>
      </c>
      <c r="I191">
        <f>I190+($J190*0.3052)</f>
        <v>2.8964026130496534</v>
      </c>
      <c r="J191" s="13"/>
      <c r="K191">
        <f>K190+($J190*0.2892)</f>
        <v>3.2749917629639889</v>
      </c>
    </row>
    <row r="192" spans="1:18" x14ac:dyDescent="0.35">
      <c r="B192" s="2" t="s">
        <v>64</v>
      </c>
      <c r="D192">
        <f>D191+($H191*0)</f>
        <v>5.6548223862421771</v>
      </c>
      <c r="E192">
        <f>E191+($H191*0.2754)</f>
        <v>10.161873831392228</v>
      </c>
      <c r="F192">
        <f>F191+($H191*0.0436)</f>
        <v>3.1478329818524178</v>
      </c>
      <c r="G192">
        <f>G191+($H191*0.4247)</f>
        <v>4.5306431758550803</v>
      </c>
      <c r="H192" s="13"/>
      <c r="I192">
        <f>I191+($H191*0.0179)</f>
        <v>2.9414639228527588</v>
      </c>
      <c r="J192" s="13"/>
      <c r="K192">
        <f>K191+($H191*0.0179)</f>
        <v>3.3200530727670943</v>
      </c>
    </row>
    <row r="193" spans="1:18" x14ac:dyDescent="0.35">
      <c r="B193" s="2" t="s">
        <v>50</v>
      </c>
      <c r="D193">
        <f>D192+($I192*0.2936)</f>
        <v>6.5184361939917475</v>
      </c>
      <c r="E193">
        <f t="shared" ref="E193:G193" si="83">E192+($I192*0)</f>
        <v>10.161873831392228</v>
      </c>
      <c r="F193">
        <f>F192+($I192*0.058)</f>
        <v>3.3184378893778779</v>
      </c>
      <c r="G193">
        <f t="shared" si="83"/>
        <v>4.5306431758550803</v>
      </c>
      <c r="H193" s="13"/>
      <c r="I193" s="13"/>
      <c r="J193" s="13"/>
      <c r="K193">
        <f>K192+($I192*0.1386)</f>
        <v>3.7277399724744864</v>
      </c>
    </row>
    <row r="194" spans="1:18" x14ac:dyDescent="0.35">
      <c r="B194" s="2" t="s">
        <v>54</v>
      </c>
      <c r="D194">
        <f>D193+($F193*0.0411)</f>
        <v>6.6548239912451779</v>
      </c>
      <c r="E194">
        <f>E193+($F193*0.3462)</f>
        <v>11.31071702869485</v>
      </c>
      <c r="F194" s="13"/>
      <c r="G194">
        <f>G193+($F193*0.1365)</f>
        <v>4.983609947755161</v>
      </c>
      <c r="H194" s="13"/>
      <c r="I194" s="13"/>
      <c r="J194" s="13"/>
      <c r="K194">
        <f>K193+($F193*0.0113)</f>
        <v>3.7652383206244564</v>
      </c>
    </row>
    <row r="195" spans="1:18" x14ac:dyDescent="0.35">
      <c r="B195" s="2" t="s">
        <v>51</v>
      </c>
      <c r="D195">
        <f>D194+($K194*0.4066)</f>
        <v>8.1857698924110824</v>
      </c>
      <c r="E195">
        <f>E194+($K194*0.0288)</f>
        <v>11.419155892328833</v>
      </c>
      <c r="F195" s="13"/>
      <c r="G195">
        <f t="shared" ref="G195" si="84">G194+($K194*0)</f>
        <v>4.983609947755161</v>
      </c>
      <c r="H195" s="13"/>
      <c r="I195" s="13"/>
      <c r="J195" s="13"/>
      <c r="K195" s="13"/>
    </row>
    <row r="196" spans="1:18" x14ac:dyDescent="0.35">
      <c r="B196" s="2" t="s">
        <v>102</v>
      </c>
      <c r="D196">
        <f>D195+($G195*((0.1149+0.139)/2))</f>
        <v>8.8184391752786002</v>
      </c>
      <c r="E196">
        <f>E195+($G195*((0.4561+0.471)/2))</f>
        <v>13.729308283610738</v>
      </c>
      <c r="F196" s="13"/>
      <c r="G196" s="13"/>
      <c r="H196" s="13"/>
      <c r="I196" s="13"/>
      <c r="J196" s="13"/>
      <c r="K196" s="13"/>
    </row>
    <row r="197" spans="1:18" x14ac:dyDescent="0.35">
      <c r="C197" s="2" t="s">
        <v>26</v>
      </c>
      <c r="D197">
        <f>D196+($G196*((0.1149+0.139)/2))</f>
        <v>8.8184391752786002</v>
      </c>
      <c r="E197" s="11">
        <f>E196+($G196*((0.4561+0.471)/2))</f>
        <v>13.729308283610738</v>
      </c>
      <c r="F197" s="13"/>
      <c r="G197" s="13"/>
      <c r="H197" s="13"/>
      <c r="I197" s="13"/>
      <c r="J197" s="13"/>
      <c r="K197" s="13"/>
    </row>
    <row r="199" spans="1:18" x14ac:dyDescent="0.35">
      <c r="A199" t="s">
        <v>20</v>
      </c>
      <c r="B199">
        <v>5</v>
      </c>
      <c r="C199">
        <v>16.666666666666668</v>
      </c>
      <c r="D199" s="6">
        <v>0.33140712243089115</v>
      </c>
      <c r="E199" s="6">
        <v>0.37529478736391464</v>
      </c>
      <c r="F199" s="6">
        <v>5.4265785908992087E-2</v>
      </c>
      <c r="G199" s="6">
        <v>0.1063753281937221</v>
      </c>
      <c r="H199" s="6">
        <v>3.2236546983962409E-2</v>
      </c>
      <c r="I199" s="6">
        <v>2.2973585631386191E-2</v>
      </c>
      <c r="J199" s="6">
        <v>1.21817231633694E-2</v>
      </c>
      <c r="K199" s="6">
        <v>4.3561427830827629E-2</v>
      </c>
      <c r="L199" s="9">
        <v>6.8398080171246049E-3</v>
      </c>
      <c r="M199" s="9">
        <v>4.1306420054517783E-3</v>
      </c>
      <c r="N199" s="9">
        <v>2.4081475659314014E-3</v>
      </c>
      <c r="O199" s="9">
        <v>7.1408264628660297E-3</v>
      </c>
      <c r="P199" s="9">
        <v>1.1873505359800659E-3</v>
      </c>
      <c r="Q199" s="9">
        <v>0</v>
      </c>
      <c r="R199" s="9">
        <v>0</v>
      </c>
    </row>
    <row r="200" spans="1:18" x14ac:dyDescent="0.35">
      <c r="A200" s="2" t="s">
        <v>66</v>
      </c>
      <c r="C200" s="2" t="s">
        <v>26</v>
      </c>
      <c r="D200">
        <f>D199*100</f>
        <v>33.140712243089112</v>
      </c>
      <c r="E200" s="11">
        <f>(E199*100)-C199</f>
        <v>20.862812069724793</v>
      </c>
      <c r="F200">
        <f t="shared" ref="F200:K200" si="85">F199*100</f>
        <v>5.4265785908992088</v>
      </c>
      <c r="G200">
        <f t="shared" si="85"/>
        <v>10.637532819372209</v>
      </c>
      <c r="H200">
        <f t="shared" si="85"/>
        <v>3.2236546983962411</v>
      </c>
      <c r="I200">
        <f t="shared" si="85"/>
        <v>2.2973585631386193</v>
      </c>
      <c r="J200">
        <f t="shared" si="85"/>
        <v>1.21817231633694</v>
      </c>
      <c r="K200">
        <f t="shared" si="85"/>
        <v>4.3561427830827633</v>
      </c>
    </row>
    <row r="201" spans="1:18" x14ac:dyDescent="0.35">
      <c r="C201" s="2" t="s">
        <v>56</v>
      </c>
      <c r="D201" s="11">
        <f>D200-C199</f>
        <v>16.474045576422444</v>
      </c>
      <c r="E201">
        <f t="shared" ref="E201:K202" si="86">E200</f>
        <v>20.862812069724793</v>
      </c>
      <c r="F201">
        <f t="shared" si="86"/>
        <v>5.4265785908992088</v>
      </c>
      <c r="G201">
        <f t="shared" si="86"/>
        <v>10.637532819372209</v>
      </c>
      <c r="H201">
        <f t="shared" si="86"/>
        <v>3.2236546983962411</v>
      </c>
      <c r="I201">
        <f t="shared" si="86"/>
        <v>2.2973585631386193</v>
      </c>
      <c r="J201">
        <f t="shared" si="86"/>
        <v>1.21817231633694</v>
      </c>
      <c r="K201">
        <f t="shared" si="86"/>
        <v>4.3561427830827633</v>
      </c>
    </row>
    <row r="202" spans="1:18" x14ac:dyDescent="0.35">
      <c r="C202" s="2" t="s">
        <v>26</v>
      </c>
      <c r="D202">
        <f>D201</f>
        <v>16.474045576422444</v>
      </c>
      <c r="E202" s="11">
        <f>E201-C199</f>
        <v>4.1961454030581251</v>
      </c>
      <c r="F202">
        <f t="shared" si="86"/>
        <v>5.4265785908992088</v>
      </c>
      <c r="G202">
        <f t="shared" si="86"/>
        <v>10.637532819372209</v>
      </c>
      <c r="H202">
        <f t="shared" si="86"/>
        <v>3.2236546983962411</v>
      </c>
      <c r="I202">
        <f t="shared" si="86"/>
        <v>2.2973585631386193</v>
      </c>
      <c r="J202">
        <f t="shared" si="86"/>
        <v>1.21817231633694</v>
      </c>
      <c r="K202">
        <f t="shared" si="86"/>
        <v>4.3561427830827633</v>
      </c>
    </row>
    <row r="203" spans="1:18" x14ac:dyDescent="0.35">
      <c r="B203" s="2" t="s">
        <v>52</v>
      </c>
      <c r="D203">
        <f>D202+($J202*0)</f>
        <v>16.474045576422444</v>
      </c>
      <c r="E203">
        <f t="shared" ref="E203:H203" si="87">E202+($J202*0)</f>
        <v>4.1961454030581251</v>
      </c>
      <c r="F203">
        <f t="shared" si="87"/>
        <v>5.4265785908992088</v>
      </c>
      <c r="G203">
        <f>G202+($J202*0.152)</f>
        <v>10.822695011455425</v>
      </c>
      <c r="H203">
        <f t="shared" si="87"/>
        <v>3.2236546983962411</v>
      </c>
      <c r="I203">
        <f>I202+($J202*0.3052)</f>
        <v>2.6691447540846536</v>
      </c>
      <c r="J203" s="13"/>
      <c r="K203">
        <f>K202+($J202*0.2892)</f>
        <v>4.7084382169674059</v>
      </c>
    </row>
    <row r="204" spans="1:18" x14ac:dyDescent="0.35">
      <c r="B204" s="2" t="s">
        <v>50</v>
      </c>
      <c r="D204">
        <f>D203+($I203*0.2936)</f>
        <v>17.257706476221699</v>
      </c>
      <c r="E204">
        <f t="shared" ref="E204:G204" si="88">E203+($I203*0)</f>
        <v>4.1961454030581251</v>
      </c>
      <c r="F204">
        <f>F203+($I203*0.058)</f>
        <v>5.581388986636119</v>
      </c>
      <c r="G204">
        <f t="shared" si="88"/>
        <v>10.822695011455425</v>
      </c>
      <c r="H204">
        <f>H203+($I203*0.0726)</f>
        <v>3.4174346075427868</v>
      </c>
      <c r="I204" s="13"/>
      <c r="J204" s="13"/>
      <c r="K204">
        <f>K203+($I203*0.1386)</f>
        <v>5.0783816798835391</v>
      </c>
    </row>
    <row r="205" spans="1:18" x14ac:dyDescent="0.35">
      <c r="C205" s="2" t="s">
        <v>56</v>
      </c>
      <c r="D205" s="11">
        <f>D204-C199</f>
        <v>0.59103980955503133</v>
      </c>
      <c r="E205">
        <f t="shared" ref="E205:K205" si="89">E204</f>
        <v>4.1961454030581251</v>
      </c>
      <c r="F205">
        <f t="shared" si="89"/>
        <v>5.581388986636119</v>
      </c>
      <c r="G205">
        <f t="shared" si="89"/>
        <v>10.822695011455425</v>
      </c>
      <c r="H205">
        <f t="shared" si="89"/>
        <v>3.4174346075427868</v>
      </c>
      <c r="I205" s="13"/>
      <c r="J205" s="13"/>
      <c r="K205">
        <f t="shared" si="89"/>
        <v>5.0783816798835391</v>
      </c>
    </row>
    <row r="206" spans="1:18" x14ac:dyDescent="0.35">
      <c r="B206" s="2" t="s">
        <v>94</v>
      </c>
      <c r="D206" s="13"/>
      <c r="E206">
        <f>E205+($D205*0.1136)</f>
        <v>4.2632875254235767</v>
      </c>
      <c r="F206">
        <f>F205+($D205*0.0879)</f>
        <v>5.6333413858960064</v>
      </c>
      <c r="G206">
        <f>G205+($D205*0.1648)</f>
        <v>10.920098372070093</v>
      </c>
      <c r="H206">
        <f>H205+($D205*0.0652)</f>
        <v>3.4559704031257747</v>
      </c>
      <c r="I206" s="13"/>
      <c r="J206" s="13"/>
      <c r="K206">
        <f>K205+($D205*0.2655)</f>
        <v>5.2353027493204003</v>
      </c>
    </row>
    <row r="207" spans="1:18" x14ac:dyDescent="0.35">
      <c r="B207" s="2" t="s">
        <v>60</v>
      </c>
      <c r="D207" s="13"/>
      <c r="E207">
        <f>E206+($H206*0.2754)</f>
        <v>5.2150617744444148</v>
      </c>
      <c r="F207">
        <f>F206+($H206*0.0436)</f>
        <v>5.7840216954722905</v>
      </c>
      <c r="G207">
        <f>G206+($H206*0.4247)</f>
        <v>12.38784900227761</v>
      </c>
      <c r="H207" s="13"/>
      <c r="I207" s="13"/>
      <c r="J207" s="13"/>
      <c r="K207">
        <f t="shared" ref="K207" si="90">K206+($H206*0)</f>
        <v>5.2353027493204003</v>
      </c>
    </row>
    <row r="208" spans="1:18" x14ac:dyDescent="0.35">
      <c r="B208" s="2" t="s">
        <v>68</v>
      </c>
      <c r="D208" s="13"/>
      <c r="E208" s="13"/>
      <c r="F208">
        <f>F207+($E207*0.1064)</f>
        <v>6.3389042682731764</v>
      </c>
      <c r="G208">
        <f>G207+($E207*0.5255)</f>
        <v>15.12836396474815</v>
      </c>
      <c r="H208" s="13"/>
      <c r="I208" s="13"/>
      <c r="J208" s="13"/>
      <c r="K208">
        <f>K207+($E207*0)</f>
        <v>5.2353027493204003</v>
      </c>
    </row>
    <row r="209" spans="1:18" x14ac:dyDescent="0.35">
      <c r="B209" s="2" t="s">
        <v>51</v>
      </c>
      <c r="D209" s="13"/>
      <c r="E209" s="13"/>
      <c r="F209">
        <f>F208+($K208*0.0345)</f>
        <v>6.5195222131247306</v>
      </c>
      <c r="G209">
        <f>G208+($K208*0)</f>
        <v>15.12836396474815</v>
      </c>
      <c r="H209" s="13"/>
      <c r="I209" s="13"/>
      <c r="J209" s="13"/>
      <c r="K209" s="13"/>
    </row>
    <row r="210" spans="1:18" x14ac:dyDescent="0.35">
      <c r="C210" s="2" t="s">
        <v>49</v>
      </c>
      <c r="D210" s="13"/>
      <c r="E210" s="13"/>
      <c r="F210">
        <f>F209+($K209*0.0345)</f>
        <v>6.5195222131247306</v>
      </c>
      <c r="G210" s="11">
        <f>G209+($K209*0)</f>
        <v>15.12836396474815</v>
      </c>
      <c r="H210" s="13"/>
      <c r="I210" s="13"/>
      <c r="J210" s="13"/>
      <c r="K210" s="13"/>
    </row>
    <row r="212" spans="1:18" x14ac:dyDescent="0.35">
      <c r="A212" t="s">
        <v>21</v>
      </c>
      <c r="B212">
        <v>5</v>
      </c>
      <c r="C212">
        <v>16.666666666666668</v>
      </c>
      <c r="D212" s="6">
        <v>0.31689059177418744</v>
      </c>
      <c r="E212" s="6">
        <v>0.42548364107609066</v>
      </c>
      <c r="F212" s="6">
        <v>4.8013296000605388E-2</v>
      </c>
      <c r="G212" s="6">
        <v>9.9906725566612425E-2</v>
      </c>
      <c r="H212" s="6">
        <v>2.6411782511634948E-2</v>
      </c>
      <c r="I212" s="6">
        <v>1.8945660070377238E-2</v>
      </c>
      <c r="J212" s="6">
        <v>9.8438079382496494E-3</v>
      </c>
      <c r="K212" s="6">
        <v>3.5266682432176781E-2</v>
      </c>
      <c r="L212" s="9">
        <v>5.2593741723107193E-3</v>
      </c>
      <c r="M212" s="9">
        <v>3.9350713231677322E-3</v>
      </c>
      <c r="N212" s="9">
        <v>2.4026637405879904E-3</v>
      </c>
      <c r="O212" s="9">
        <v>6.1863861667108104E-3</v>
      </c>
      <c r="P212" s="9">
        <v>1.4567331340572857E-3</v>
      </c>
      <c r="Q212" s="9">
        <v>0</v>
      </c>
      <c r="R212" s="9">
        <v>0</v>
      </c>
    </row>
    <row r="213" spans="1:18" x14ac:dyDescent="0.35">
      <c r="A213" s="2" t="s">
        <v>66</v>
      </c>
      <c r="C213" s="2" t="s">
        <v>26</v>
      </c>
      <c r="D213">
        <f>D212*100</f>
        <v>31.689059177418745</v>
      </c>
      <c r="E213" s="11">
        <f>(E212*100)-C212</f>
        <v>25.8816974409424</v>
      </c>
      <c r="F213">
        <f t="shared" ref="F213:K213" si="91">F212*100</f>
        <v>4.801329600060539</v>
      </c>
      <c r="G213">
        <f t="shared" si="91"/>
        <v>9.9906725566612433</v>
      </c>
      <c r="H213">
        <f t="shared" si="91"/>
        <v>2.6411782511634949</v>
      </c>
      <c r="I213">
        <f t="shared" si="91"/>
        <v>1.8945660070377239</v>
      </c>
      <c r="J213">
        <f t="shared" si="91"/>
        <v>0.98438079382496491</v>
      </c>
      <c r="K213">
        <f t="shared" si="91"/>
        <v>3.5266682432176779</v>
      </c>
    </row>
    <row r="214" spans="1:18" x14ac:dyDescent="0.35">
      <c r="C214" s="2" t="s">
        <v>56</v>
      </c>
      <c r="D214" s="11">
        <f>D213-C212</f>
        <v>15.022392510752077</v>
      </c>
      <c r="E214">
        <f t="shared" ref="E214:K215" si="92">E213</f>
        <v>25.8816974409424</v>
      </c>
      <c r="F214">
        <f t="shared" si="92"/>
        <v>4.801329600060539</v>
      </c>
      <c r="G214">
        <f t="shared" si="92"/>
        <v>9.9906725566612433</v>
      </c>
      <c r="H214">
        <f t="shared" si="92"/>
        <v>2.6411782511634949</v>
      </c>
      <c r="I214">
        <f t="shared" si="92"/>
        <v>1.8945660070377239</v>
      </c>
      <c r="J214">
        <f t="shared" si="92"/>
        <v>0.98438079382496491</v>
      </c>
      <c r="K214">
        <f t="shared" si="92"/>
        <v>3.5266682432176779</v>
      </c>
    </row>
    <row r="215" spans="1:18" x14ac:dyDescent="0.35">
      <c r="C215" s="2" t="s">
        <v>26</v>
      </c>
      <c r="D215">
        <f>D214</f>
        <v>15.022392510752077</v>
      </c>
      <c r="E215" s="11">
        <f>E214-C212</f>
        <v>9.215030774275732</v>
      </c>
      <c r="F215">
        <f t="shared" si="92"/>
        <v>4.801329600060539</v>
      </c>
      <c r="G215">
        <f t="shared" si="92"/>
        <v>9.9906725566612433</v>
      </c>
      <c r="H215">
        <f t="shared" si="92"/>
        <v>2.6411782511634949</v>
      </c>
      <c r="I215">
        <f t="shared" si="92"/>
        <v>1.8945660070377239</v>
      </c>
      <c r="J215">
        <f t="shared" si="92"/>
        <v>0.98438079382496491</v>
      </c>
      <c r="K215">
        <f t="shared" si="92"/>
        <v>3.5266682432176779</v>
      </c>
    </row>
    <row r="216" spans="1:18" x14ac:dyDescent="0.35">
      <c r="B216" s="2" t="s">
        <v>52</v>
      </c>
      <c r="D216">
        <f>D215+($J215*0)</f>
        <v>15.022392510752077</v>
      </c>
      <c r="E216">
        <f t="shared" ref="E216:H216" si="93">E215+($J215*0)</f>
        <v>9.215030774275732</v>
      </c>
      <c r="F216">
        <f t="shared" si="93"/>
        <v>4.801329600060539</v>
      </c>
      <c r="G216">
        <f>G215+($J215*0.152)</f>
        <v>10.140298437322638</v>
      </c>
      <c r="H216">
        <f t="shared" si="93"/>
        <v>2.6411782511634949</v>
      </c>
      <c r="I216">
        <f>I215+($J215*0.3052)</f>
        <v>2.1949990253131033</v>
      </c>
      <c r="J216" s="13"/>
      <c r="K216">
        <f>K215+($J215*0.2892)</f>
        <v>3.811351168791858</v>
      </c>
    </row>
    <row r="217" spans="1:18" x14ac:dyDescent="0.35">
      <c r="B217" s="2" t="s">
        <v>50</v>
      </c>
      <c r="D217">
        <f>D216+($I216*0.2936)</f>
        <v>15.666844224584004</v>
      </c>
      <c r="E217">
        <f t="shared" ref="E217:G217" si="94">E216+($I216*0)</f>
        <v>9.215030774275732</v>
      </c>
      <c r="F217">
        <f>F216+($I216*0.058)</f>
        <v>4.9286395435286989</v>
      </c>
      <c r="G217">
        <f t="shared" si="94"/>
        <v>10.140298437322638</v>
      </c>
      <c r="H217">
        <f>H216+($I216*0.0726)</f>
        <v>2.8005351804012264</v>
      </c>
      <c r="I217" s="13"/>
      <c r="J217" s="13"/>
      <c r="K217">
        <f>K216+($I216*0.1386)</f>
        <v>4.1155780337002543</v>
      </c>
    </row>
    <row r="218" spans="1:18" x14ac:dyDescent="0.35">
      <c r="B218" s="2" t="s">
        <v>60</v>
      </c>
      <c r="D218">
        <f>D217+($H217*0)</f>
        <v>15.666844224584004</v>
      </c>
      <c r="E218">
        <f>E217+($H217*0.2754)</f>
        <v>9.9862981629582297</v>
      </c>
      <c r="F218">
        <f>F217+($H217*0.0436)</f>
        <v>5.0507428773941925</v>
      </c>
      <c r="G218">
        <f>G217+($H217*0.4247)</f>
        <v>11.329685728439038</v>
      </c>
      <c r="H218" s="13"/>
      <c r="I218" s="13"/>
      <c r="J218" s="13"/>
      <c r="K218">
        <f t="shared" ref="K218" si="95">K217+($H217*0)</f>
        <v>4.1155780337002543</v>
      </c>
    </row>
    <row r="219" spans="1:18" x14ac:dyDescent="0.35">
      <c r="B219" s="2" t="s">
        <v>51</v>
      </c>
      <c r="D219">
        <f>D218+($K218*0.4066)</f>
        <v>17.340238253086529</v>
      </c>
      <c r="E219">
        <f>E218+($K218*0.0288)</f>
        <v>10.104826810328797</v>
      </c>
      <c r="F219">
        <f>F218+($K218*0.0345)</f>
        <v>5.1927303195568513</v>
      </c>
      <c r="G219">
        <f t="shared" ref="G219" si="96">G218+($K218*0)</f>
        <v>11.329685728439038</v>
      </c>
      <c r="H219" s="13"/>
      <c r="I219" s="13"/>
      <c r="J219" s="13"/>
      <c r="K219" s="13"/>
    </row>
    <row r="220" spans="1:18" x14ac:dyDescent="0.35">
      <c r="C220" s="2" t="s">
        <v>56</v>
      </c>
      <c r="D220" s="11">
        <f>D219-C212</f>
        <v>0.67357158641986103</v>
      </c>
      <c r="E220">
        <f t="shared" ref="E220:G220" si="97">E219</f>
        <v>10.104826810328797</v>
      </c>
      <c r="F220">
        <f t="shared" si="97"/>
        <v>5.1927303195568513</v>
      </c>
      <c r="G220">
        <f t="shared" si="97"/>
        <v>11.329685728439038</v>
      </c>
      <c r="H220" s="13"/>
      <c r="I220" s="13"/>
      <c r="J220" s="13"/>
      <c r="K220" s="13"/>
    </row>
    <row r="221" spans="1:18" x14ac:dyDescent="0.35">
      <c r="B221" s="2" t="s">
        <v>94</v>
      </c>
      <c r="D221" s="13"/>
      <c r="E221">
        <f>E220+($D220*0.1136)</f>
        <v>10.181344542546093</v>
      </c>
      <c r="F221">
        <f>F220+($D220*0.0879)</f>
        <v>5.2519372620031568</v>
      </c>
      <c r="G221">
        <f>G220+($D220*0.1648)</f>
        <v>11.440690325881032</v>
      </c>
      <c r="H221" s="13"/>
      <c r="I221" s="13"/>
      <c r="J221" s="13"/>
      <c r="K221" s="13"/>
    </row>
    <row r="222" spans="1:18" x14ac:dyDescent="0.35">
      <c r="B222" s="2" t="s">
        <v>54</v>
      </c>
      <c r="D222" s="13"/>
      <c r="E222">
        <f>E221+(F221*0.3462)</f>
        <v>11.999565222651587</v>
      </c>
      <c r="F222" s="13"/>
      <c r="G222">
        <f>G221+(F221*0.1365)</f>
        <v>12.157579762144463</v>
      </c>
      <c r="H222" s="13"/>
      <c r="I222" s="13"/>
      <c r="J222" s="13"/>
      <c r="K222" s="13"/>
    </row>
    <row r="223" spans="1:18" x14ac:dyDescent="0.35">
      <c r="C223" s="2" t="s">
        <v>49</v>
      </c>
      <c r="D223" s="13"/>
      <c r="E223">
        <f>E222+(F222*0.3462)</f>
        <v>11.999565222651587</v>
      </c>
      <c r="F223" s="13"/>
      <c r="G223" s="11">
        <f>G222+(F222*0.1365)</f>
        <v>12.157579762144463</v>
      </c>
      <c r="H223" s="13"/>
      <c r="I223" s="13"/>
      <c r="J223" s="13"/>
      <c r="K223" s="13"/>
    </row>
    <row r="225" spans="1:18" x14ac:dyDescent="0.35">
      <c r="A225" t="s">
        <v>22</v>
      </c>
      <c r="B225">
        <v>4</v>
      </c>
      <c r="C225">
        <v>20</v>
      </c>
      <c r="D225" s="6">
        <v>0.13782130370043202</v>
      </c>
      <c r="E225" s="6">
        <v>0.49207642209519825</v>
      </c>
      <c r="F225" s="6">
        <v>3.7135680186207054E-2</v>
      </c>
      <c r="G225" s="6">
        <v>0.20303622359047779</v>
      </c>
      <c r="H225" s="6">
        <v>3.0794472295617152E-2</v>
      </c>
      <c r="I225" s="6">
        <v>2.4070173300417788E-2</v>
      </c>
      <c r="J225" s="6">
        <v>8.4524353290554889E-3</v>
      </c>
      <c r="K225" s="6">
        <v>2.4561694803583001E-2</v>
      </c>
      <c r="L225" s="9">
        <v>7.1786310517529218E-3</v>
      </c>
      <c r="M225" s="9">
        <v>1.4565943238731218E-2</v>
      </c>
      <c r="N225" s="9">
        <v>3.1093489148580969E-3</v>
      </c>
      <c r="O225" s="9">
        <v>5.9265442404006679E-3</v>
      </c>
      <c r="P225" s="9">
        <v>2.3580968280467445E-3</v>
      </c>
      <c r="Q225" s="9">
        <v>8.3055091819699504E-3</v>
      </c>
      <c r="R225" s="9">
        <v>1.0225375626043405E-3</v>
      </c>
    </row>
    <row r="226" spans="1:18" x14ac:dyDescent="0.35">
      <c r="A226" s="2" t="s">
        <v>88</v>
      </c>
      <c r="C226" s="2" t="s">
        <v>26</v>
      </c>
      <c r="D226">
        <f>D225*100</f>
        <v>13.782130370043202</v>
      </c>
      <c r="E226" s="11">
        <f>(E225*100)-C225</f>
        <v>29.207642209519825</v>
      </c>
      <c r="F226">
        <f t="shared" ref="F226:K226" si="98">F225*100</f>
        <v>3.7135680186207054</v>
      </c>
      <c r="G226">
        <f t="shared" si="98"/>
        <v>20.303622359047779</v>
      </c>
      <c r="H226">
        <f t="shared" si="98"/>
        <v>3.079447229561715</v>
      </c>
      <c r="I226">
        <f t="shared" si="98"/>
        <v>2.407017330041779</v>
      </c>
      <c r="J226">
        <f t="shared" si="98"/>
        <v>0.84524353290554888</v>
      </c>
      <c r="K226">
        <f t="shared" si="98"/>
        <v>2.4561694803582999</v>
      </c>
    </row>
    <row r="227" spans="1:18" x14ac:dyDescent="0.35">
      <c r="C227" s="2" t="s">
        <v>26</v>
      </c>
      <c r="D227">
        <f>D226</f>
        <v>13.782130370043202</v>
      </c>
      <c r="E227" s="11">
        <f>E226-C225</f>
        <v>9.2076422095198254</v>
      </c>
      <c r="F227">
        <f t="shared" ref="F227:K228" si="99">F226</f>
        <v>3.7135680186207054</v>
      </c>
      <c r="G227">
        <f t="shared" si="99"/>
        <v>20.303622359047779</v>
      </c>
      <c r="H227">
        <f t="shared" si="99"/>
        <v>3.079447229561715</v>
      </c>
      <c r="I227">
        <f t="shared" si="99"/>
        <v>2.407017330041779</v>
      </c>
      <c r="J227">
        <f t="shared" si="99"/>
        <v>0.84524353290554888</v>
      </c>
      <c r="K227">
        <f t="shared" si="99"/>
        <v>2.4561694803582999</v>
      </c>
    </row>
    <row r="228" spans="1:18" x14ac:dyDescent="0.35">
      <c r="C228" s="2" t="s">
        <v>49</v>
      </c>
      <c r="D228">
        <f>D227</f>
        <v>13.782130370043202</v>
      </c>
      <c r="E228">
        <f t="shared" ref="E228" si="100">E227</f>
        <v>9.2076422095198254</v>
      </c>
      <c r="F228">
        <f t="shared" si="99"/>
        <v>3.7135680186207054</v>
      </c>
      <c r="G228">
        <f>G227-C225</f>
        <v>0.3036223590477789</v>
      </c>
      <c r="H228">
        <f t="shared" si="99"/>
        <v>3.079447229561715</v>
      </c>
      <c r="I228">
        <f t="shared" si="99"/>
        <v>2.407017330041779</v>
      </c>
      <c r="J228">
        <f t="shared" si="99"/>
        <v>0.84524353290554888</v>
      </c>
      <c r="K228">
        <f t="shared" si="99"/>
        <v>2.4561694803582999</v>
      </c>
    </row>
    <row r="229" spans="1:18" x14ac:dyDescent="0.35">
      <c r="B229" s="2" t="s">
        <v>89</v>
      </c>
      <c r="D229">
        <f>D228+($G228*((0+0.139)/2))</f>
        <v>13.803232123997022</v>
      </c>
      <c r="E229">
        <f>E228+($G228*((0.4615+0.471)/2))</f>
        <v>9.3492061344258524</v>
      </c>
      <c r="F229">
        <f>F228+($G228*((0.0129+0.0283)/2))</f>
        <v>3.7198226392170897</v>
      </c>
      <c r="G229" s="13"/>
      <c r="H229">
        <f>H228+($G228*((0.3775+0.192)/2))</f>
        <v>3.1659036963005702</v>
      </c>
      <c r="I229">
        <f>I228+($G228*((0+0.0646)/2))</f>
        <v>2.4168243322390222</v>
      </c>
      <c r="J229">
        <f t="shared" ref="J229:K229" si="101">J228+($G228*0)</f>
        <v>0.84524353290554888</v>
      </c>
      <c r="K229">
        <f t="shared" si="101"/>
        <v>2.4561694803582999</v>
      </c>
    </row>
    <row r="230" spans="1:18" x14ac:dyDescent="0.35">
      <c r="B230" s="2" t="s">
        <v>52</v>
      </c>
      <c r="D230">
        <f>D229+($J229*0)</f>
        <v>13.803232123997022</v>
      </c>
      <c r="E230">
        <f t="shared" ref="E230:F230" si="102">E229+($J229*0)</f>
        <v>9.3492061344258524</v>
      </c>
      <c r="F230">
        <f t="shared" si="102"/>
        <v>3.7198226392170897</v>
      </c>
      <c r="G230" s="13"/>
      <c r="H230">
        <f>H229+($J229*0)</f>
        <v>3.1659036963005702</v>
      </c>
      <c r="I230">
        <f>I229+($J229*0.3052)</f>
        <v>2.6747926584817958</v>
      </c>
      <c r="J230" s="13"/>
      <c r="K230">
        <f>K229+($J229*0.2892)</f>
        <v>2.7006139100745847</v>
      </c>
    </row>
    <row r="231" spans="1:18" x14ac:dyDescent="0.35">
      <c r="B231" s="2" t="s">
        <v>50</v>
      </c>
      <c r="D231">
        <f>D230+($I230*0.2936)</f>
        <v>14.588551248527278</v>
      </c>
      <c r="E231">
        <f>E230+($I230*0)</f>
        <v>9.3492061344258524</v>
      </c>
      <c r="F231">
        <f>F230+($I230*0.058)</f>
        <v>3.874960613409034</v>
      </c>
      <c r="G231" s="13"/>
      <c r="H231">
        <f>H230+($I230*0.0726)</f>
        <v>3.3600936433063486</v>
      </c>
      <c r="I231" s="13"/>
      <c r="J231" s="13"/>
      <c r="K231">
        <f>K230+($I230*0.1386)</f>
        <v>3.0713401725401615</v>
      </c>
    </row>
    <row r="232" spans="1:18" x14ac:dyDescent="0.35">
      <c r="B232" s="2" t="s">
        <v>51</v>
      </c>
      <c r="D232">
        <f>D231+($K231*0.4066)</f>
        <v>15.837358162682108</v>
      </c>
      <c r="E232">
        <f>E231+($K231*0.0288)</f>
        <v>9.4376607313950096</v>
      </c>
      <c r="F232">
        <f>F231+($K231*0.0345)</f>
        <v>3.9809218493616694</v>
      </c>
      <c r="G232" s="13"/>
      <c r="H232">
        <f t="shared" ref="H232" si="103">H231+($K231*0)</f>
        <v>3.3600936433063486</v>
      </c>
      <c r="I232" s="13"/>
      <c r="J232" s="13"/>
      <c r="K232" s="13"/>
    </row>
    <row r="233" spans="1:18" x14ac:dyDescent="0.35">
      <c r="B233" s="2" t="s">
        <v>60</v>
      </c>
      <c r="D233">
        <f>D232+($H232*0)</f>
        <v>15.837358162682108</v>
      </c>
      <c r="E233">
        <f>E232+($H232*0.2754)</f>
        <v>10.363030520761578</v>
      </c>
      <c r="F233">
        <f>F232+($H232*0.0436)</f>
        <v>4.1274219322098258</v>
      </c>
      <c r="G233" s="13"/>
      <c r="H233" s="13"/>
      <c r="I233" s="13"/>
      <c r="J233" s="13"/>
      <c r="K233" s="13"/>
    </row>
    <row r="234" spans="1:18" x14ac:dyDescent="0.35">
      <c r="B234" s="2" t="s">
        <v>54</v>
      </c>
      <c r="D234">
        <f>D233+(F233*0.0411)</f>
        <v>16.006995204095933</v>
      </c>
      <c r="E234">
        <f>E233+(F233*0.3462)</f>
        <v>11.79194399369262</v>
      </c>
      <c r="F234" s="13"/>
      <c r="G234" s="13"/>
      <c r="H234" s="13"/>
      <c r="I234" s="13"/>
      <c r="J234" s="13"/>
      <c r="K234" s="13"/>
    </row>
    <row r="235" spans="1:18" x14ac:dyDescent="0.35">
      <c r="C235" s="2" t="s">
        <v>56</v>
      </c>
      <c r="D235" s="11">
        <f>D234+(F234*0.0411)</f>
        <v>16.006995204095933</v>
      </c>
      <c r="E235">
        <f>E234+(F234*0.3462)</f>
        <v>11.79194399369262</v>
      </c>
      <c r="F235" s="13"/>
      <c r="G235" s="13"/>
      <c r="H235" s="13"/>
      <c r="I235" s="13"/>
      <c r="J235" s="13"/>
      <c r="K235" s="13"/>
    </row>
    <row r="237" spans="1:18" x14ac:dyDescent="0.35">
      <c r="A237" t="s">
        <v>23</v>
      </c>
      <c r="B237">
        <v>5</v>
      </c>
      <c r="C237">
        <v>16.666666666666668</v>
      </c>
      <c r="D237" s="6">
        <v>0.17909135208433577</v>
      </c>
      <c r="E237" s="6">
        <v>0.46679717641398016</v>
      </c>
      <c r="F237" s="6">
        <v>6.1249910327632204E-2</v>
      </c>
      <c r="G237" s="6">
        <v>0.16401732426403043</v>
      </c>
      <c r="H237" s="6">
        <v>2.8178386772232188E-2</v>
      </c>
      <c r="I237" s="6">
        <v>2.9296351865622676E-2</v>
      </c>
      <c r="J237" s="6">
        <v>1.0604260531035387E-2</v>
      </c>
      <c r="K237" s="6">
        <v>2.6597611653033551E-2</v>
      </c>
      <c r="L237" s="9">
        <v>5.0741437382441712E-3</v>
      </c>
      <c r="M237" s="9">
        <v>6.2989370543720747E-3</v>
      </c>
      <c r="N237" s="9">
        <v>3.040111981103189E-3</v>
      </c>
      <c r="O237" s="9">
        <v>9.4484055815581124E-3</v>
      </c>
      <c r="P237" s="9">
        <v>2.4933292506889465E-3</v>
      </c>
      <c r="Q237" s="9">
        <v>8.2892261930799186E-3</v>
      </c>
      <c r="R237" s="9">
        <v>0</v>
      </c>
    </row>
    <row r="238" spans="1:18" x14ac:dyDescent="0.35">
      <c r="A238" s="2" t="s">
        <v>90</v>
      </c>
      <c r="C238" s="2" t="s">
        <v>26</v>
      </c>
      <c r="D238">
        <f>D237*100</f>
        <v>17.909135208433575</v>
      </c>
      <c r="E238" s="11">
        <f>(E237*100)-C237</f>
        <v>30.013050974731346</v>
      </c>
      <c r="F238">
        <f t="shared" ref="F238:K238" si="104">F237*100</f>
        <v>6.1249910327632202</v>
      </c>
      <c r="G238">
        <f t="shared" si="104"/>
        <v>16.401732426403044</v>
      </c>
      <c r="H238">
        <f t="shared" si="104"/>
        <v>2.8178386772232189</v>
      </c>
      <c r="I238">
        <f t="shared" si="104"/>
        <v>2.9296351865622676</v>
      </c>
      <c r="J238">
        <f t="shared" si="104"/>
        <v>1.0604260531035385</v>
      </c>
      <c r="K238">
        <f t="shared" si="104"/>
        <v>2.659761165303355</v>
      </c>
    </row>
    <row r="239" spans="1:18" x14ac:dyDescent="0.35">
      <c r="C239" s="2" t="s">
        <v>26</v>
      </c>
      <c r="D239">
        <f>D238</f>
        <v>17.909135208433575</v>
      </c>
      <c r="E239" s="11">
        <f>E238-C237</f>
        <v>13.346384308064678</v>
      </c>
      <c r="F239">
        <f t="shared" ref="F239:K240" si="105">F238</f>
        <v>6.1249910327632202</v>
      </c>
      <c r="G239">
        <f t="shared" si="105"/>
        <v>16.401732426403044</v>
      </c>
      <c r="H239">
        <f t="shared" si="105"/>
        <v>2.8178386772232189</v>
      </c>
      <c r="I239">
        <f t="shared" si="105"/>
        <v>2.9296351865622676</v>
      </c>
      <c r="J239">
        <f t="shared" si="105"/>
        <v>1.0604260531035385</v>
      </c>
      <c r="K239">
        <f t="shared" si="105"/>
        <v>2.659761165303355</v>
      </c>
    </row>
    <row r="240" spans="1:18" x14ac:dyDescent="0.35">
      <c r="C240" s="2" t="s">
        <v>56</v>
      </c>
      <c r="D240" s="11">
        <f>D239-C237</f>
        <v>1.2424685417669075</v>
      </c>
      <c r="E240">
        <f t="shared" ref="E240" si="106">E239</f>
        <v>13.346384308064678</v>
      </c>
      <c r="F240">
        <f t="shared" si="105"/>
        <v>6.1249910327632202</v>
      </c>
      <c r="G240">
        <f t="shared" si="105"/>
        <v>16.401732426403044</v>
      </c>
      <c r="H240">
        <f t="shared" si="105"/>
        <v>2.8178386772232189</v>
      </c>
      <c r="I240">
        <f t="shared" si="105"/>
        <v>2.9296351865622676</v>
      </c>
      <c r="J240">
        <f t="shared" si="105"/>
        <v>1.0604260531035385</v>
      </c>
      <c r="K240">
        <f t="shared" si="105"/>
        <v>2.659761165303355</v>
      </c>
    </row>
    <row r="241" spans="2:11" x14ac:dyDescent="0.35">
      <c r="B241" s="2" t="s">
        <v>52</v>
      </c>
      <c r="D241">
        <f>D240+($J240*0)</f>
        <v>1.2424685417669075</v>
      </c>
      <c r="E241">
        <f t="shared" ref="E241:H241" si="107">E240+($J240*0)</f>
        <v>13.346384308064678</v>
      </c>
      <c r="F241">
        <f t="shared" si="107"/>
        <v>6.1249910327632202</v>
      </c>
      <c r="G241">
        <f>G240+($J240*0.152)</f>
        <v>16.562917186474781</v>
      </c>
      <c r="H241">
        <f t="shared" si="107"/>
        <v>2.8178386772232189</v>
      </c>
      <c r="I241">
        <f>I240+($J240*0.3052)</f>
        <v>3.2532772179694676</v>
      </c>
      <c r="J241" s="13"/>
      <c r="K241">
        <f>K240+($J240*0.2892)</f>
        <v>2.9664363798608986</v>
      </c>
    </row>
    <row r="242" spans="2:11" x14ac:dyDescent="0.35">
      <c r="B242" s="2" t="s">
        <v>91</v>
      </c>
      <c r="D242" s="13"/>
      <c r="E242">
        <f>E241+($D241*0.1021)</f>
        <v>13.473240346179079</v>
      </c>
      <c r="F242">
        <f>F241+($D241*0.0214)</f>
        <v>6.1515798595570317</v>
      </c>
      <c r="G242">
        <f>G241+($D241*0.2356)</f>
        <v>16.855642774915065</v>
      </c>
      <c r="H242">
        <f>H241+($D241*0.106)</f>
        <v>2.9495403426505109</v>
      </c>
      <c r="I242">
        <f>I241+($D241*0.0239)</f>
        <v>3.2829722161176966</v>
      </c>
      <c r="J242" s="13"/>
      <c r="K242">
        <f>K241+($D241*0.236)</f>
        <v>3.2596589557178888</v>
      </c>
    </row>
    <row r="243" spans="2:11" x14ac:dyDescent="0.35">
      <c r="C243" s="2" t="s">
        <v>49</v>
      </c>
      <c r="D243" s="13"/>
      <c r="E243">
        <f>E242</f>
        <v>13.473240346179079</v>
      </c>
      <c r="F243">
        <f t="shared" ref="F243:I243" si="108">F242</f>
        <v>6.1515798595570317</v>
      </c>
      <c r="G243" s="11">
        <f>G242-C237</f>
        <v>0.18897610824839717</v>
      </c>
      <c r="H243">
        <f t="shared" si="108"/>
        <v>2.9495403426505109</v>
      </c>
      <c r="I243">
        <f t="shared" si="108"/>
        <v>3.2829722161176966</v>
      </c>
      <c r="J243" s="13"/>
      <c r="K243">
        <f>K242</f>
        <v>3.2596589557178888</v>
      </c>
    </row>
    <row r="244" spans="2:11" x14ac:dyDescent="0.35">
      <c r="B244" s="2" t="s">
        <v>105</v>
      </c>
      <c r="D244" s="13"/>
      <c r="E244">
        <f>E243+($G243*0.471)</f>
        <v>13.562248093164074</v>
      </c>
      <c r="F244">
        <f>F243+($G243*0.283)</f>
        <v>6.2050600981913284</v>
      </c>
      <c r="G244" s="13"/>
      <c r="H244">
        <f>H243+($G243*0.192)</f>
        <v>2.9858237554342031</v>
      </c>
      <c r="I244">
        <f>I243+($G243*0.0646)</f>
        <v>3.2951800727105431</v>
      </c>
      <c r="J244" s="13"/>
      <c r="K244">
        <f>K243+($G243*0)</f>
        <v>3.2596589557178888</v>
      </c>
    </row>
    <row r="245" spans="2:11" x14ac:dyDescent="0.35">
      <c r="B245" s="2" t="s">
        <v>60</v>
      </c>
      <c r="D245" s="13"/>
      <c r="E245">
        <f>E244+($H244*0.2754)</f>
        <v>14.384543955410653</v>
      </c>
      <c r="F245">
        <f>F244+($H244*0.0436)</f>
        <v>6.3352420139282595</v>
      </c>
      <c r="G245" s="13"/>
      <c r="H245" s="13"/>
      <c r="I245">
        <f>I244+($H244*0.0179)</f>
        <v>3.3486263179328155</v>
      </c>
      <c r="J245" s="13"/>
      <c r="K245">
        <f t="shared" ref="K245" si="109">K244+($H244*0)</f>
        <v>3.2596589557178888</v>
      </c>
    </row>
    <row r="246" spans="2:11" x14ac:dyDescent="0.35">
      <c r="B246" s="2" t="s">
        <v>51</v>
      </c>
      <c r="D246" s="13"/>
      <c r="E246">
        <f>E245+($K245*0.0288)</f>
        <v>14.478422133335329</v>
      </c>
      <c r="F246">
        <f>F245+($K245*0.0345)</f>
        <v>6.447700247900527</v>
      </c>
      <c r="G246" s="13"/>
      <c r="H246" s="13"/>
      <c r="I246">
        <f>I245+($K245*0.1298)</f>
        <v>3.7717300503849973</v>
      </c>
      <c r="J246" s="13"/>
      <c r="K246" s="13"/>
    </row>
    <row r="247" spans="2:11" x14ac:dyDescent="0.35">
      <c r="B247" s="2" t="s">
        <v>50</v>
      </c>
      <c r="D247" s="13"/>
      <c r="E247">
        <f>E246+($I246*0)</f>
        <v>14.478422133335329</v>
      </c>
      <c r="F247">
        <f>F246+($I246*0.058)</f>
        <v>6.6664605908228571</v>
      </c>
      <c r="G247" s="13"/>
      <c r="H247" s="13"/>
      <c r="I247" s="13"/>
      <c r="J247" s="13"/>
      <c r="K247" s="13"/>
    </row>
    <row r="248" spans="2:11" x14ac:dyDescent="0.35">
      <c r="C248" s="2" t="s">
        <v>26</v>
      </c>
      <c r="D248" s="13"/>
      <c r="E248" s="11">
        <f>E247+($I247*0)</f>
        <v>14.478422133335329</v>
      </c>
      <c r="F248">
        <f>F247+($I247*0.058)</f>
        <v>6.6664605908228571</v>
      </c>
      <c r="G248" s="13"/>
      <c r="H248" s="13"/>
      <c r="I248" s="13"/>
      <c r="J248" s="13"/>
      <c r="K248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7A46-B7E9-4DD8-B88F-82BDCF27B0CB}">
  <dimension ref="A1:F27"/>
  <sheetViews>
    <sheetView zoomScale="70" zoomScaleNormal="70" workbookViewId="0">
      <selection activeCell="H28" sqref="H28"/>
    </sheetView>
  </sheetViews>
  <sheetFormatPr defaultRowHeight="14.5" x14ac:dyDescent="0.35"/>
  <cols>
    <col min="1" max="1" width="61.08984375" bestFit="1" customWidth="1"/>
    <col min="5" max="5" width="11.1796875" bestFit="1" customWidth="1"/>
  </cols>
  <sheetData>
    <row r="1" spans="1:6" ht="26.5" x14ac:dyDescent="0.35">
      <c r="A1" s="1" t="s">
        <v>0</v>
      </c>
      <c r="B1" s="18" t="s">
        <v>25</v>
      </c>
      <c r="C1" s="19" t="s">
        <v>26</v>
      </c>
      <c r="D1" s="20" t="s">
        <v>27</v>
      </c>
      <c r="E1" s="21" t="s">
        <v>28</v>
      </c>
      <c r="F1" s="22" t="s">
        <v>107</v>
      </c>
    </row>
    <row r="2" spans="1:6" x14ac:dyDescent="0.35">
      <c r="A2" t="s">
        <v>4</v>
      </c>
      <c r="B2">
        <v>1</v>
      </c>
      <c r="C2">
        <v>2</v>
      </c>
      <c r="E2">
        <v>1</v>
      </c>
      <c r="F2">
        <f>SUM(B2:E2)</f>
        <v>4</v>
      </c>
    </row>
    <row r="3" spans="1:6" x14ac:dyDescent="0.35">
      <c r="A3" t="s">
        <v>5</v>
      </c>
      <c r="B3">
        <v>1</v>
      </c>
      <c r="C3">
        <v>1</v>
      </c>
      <c r="E3">
        <v>1</v>
      </c>
      <c r="F3">
        <f t="shared" ref="F3:F21" si="0">SUM(B3:E3)</f>
        <v>3</v>
      </c>
    </row>
    <row r="4" spans="1:6" x14ac:dyDescent="0.35">
      <c r="A4" t="s">
        <v>6</v>
      </c>
      <c r="B4">
        <v>1</v>
      </c>
      <c r="C4">
        <v>2</v>
      </c>
      <c r="E4">
        <v>1</v>
      </c>
      <c r="F4">
        <f t="shared" si="0"/>
        <v>4</v>
      </c>
    </row>
    <row r="5" spans="1:6" x14ac:dyDescent="0.35">
      <c r="A5" t="s">
        <v>7</v>
      </c>
      <c r="B5">
        <v>1</v>
      </c>
      <c r="C5">
        <v>1</v>
      </c>
      <c r="D5">
        <v>1</v>
      </c>
      <c r="F5">
        <f t="shared" si="0"/>
        <v>3</v>
      </c>
    </row>
    <row r="6" spans="1:6" x14ac:dyDescent="0.35">
      <c r="A6" t="s">
        <v>8</v>
      </c>
      <c r="B6">
        <v>2</v>
      </c>
      <c r="C6">
        <v>2</v>
      </c>
      <c r="E6">
        <v>1</v>
      </c>
      <c r="F6">
        <f t="shared" si="0"/>
        <v>5</v>
      </c>
    </row>
    <row r="7" spans="1:6" x14ac:dyDescent="0.35">
      <c r="A7" t="s">
        <v>9</v>
      </c>
      <c r="B7">
        <v>1</v>
      </c>
      <c r="C7">
        <v>2</v>
      </c>
      <c r="E7">
        <v>1</v>
      </c>
      <c r="F7">
        <f t="shared" si="0"/>
        <v>4</v>
      </c>
    </row>
    <row r="8" spans="1:6" x14ac:dyDescent="0.35">
      <c r="A8" t="s">
        <v>10</v>
      </c>
      <c r="B8">
        <v>1</v>
      </c>
      <c r="C8">
        <v>2</v>
      </c>
      <c r="D8">
        <v>1</v>
      </c>
      <c r="E8">
        <v>1</v>
      </c>
      <c r="F8">
        <f t="shared" si="0"/>
        <v>5</v>
      </c>
    </row>
    <row r="9" spans="1:6" x14ac:dyDescent="0.35">
      <c r="A9" t="s">
        <v>11</v>
      </c>
      <c r="B9">
        <v>2</v>
      </c>
      <c r="C9">
        <v>2</v>
      </c>
      <c r="E9">
        <v>1</v>
      </c>
      <c r="F9">
        <f t="shared" si="0"/>
        <v>5</v>
      </c>
    </row>
    <row r="10" spans="1:6" x14ac:dyDescent="0.35">
      <c r="A10" t="s">
        <v>12</v>
      </c>
      <c r="B10">
        <v>1</v>
      </c>
      <c r="C10">
        <v>1</v>
      </c>
      <c r="E10">
        <v>2</v>
      </c>
      <c r="F10">
        <f t="shared" si="0"/>
        <v>4</v>
      </c>
    </row>
    <row r="11" spans="1:6" x14ac:dyDescent="0.35">
      <c r="A11" t="s">
        <v>13</v>
      </c>
      <c r="B11">
        <v>1</v>
      </c>
      <c r="C11">
        <v>2</v>
      </c>
      <c r="E11">
        <v>1</v>
      </c>
      <c r="F11">
        <f t="shared" si="0"/>
        <v>4</v>
      </c>
    </row>
    <row r="12" spans="1:6" x14ac:dyDescent="0.35">
      <c r="A12" t="s">
        <v>14</v>
      </c>
      <c r="B12">
        <v>2</v>
      </c>
      <c r="C12">
        <v>1</v>
      </c>
      <c r="E12">
        <v>1</v>
      </c>
      <c r="F12">
        <f t="shared" si="0"/>
        <v>4</v>
      </c>
    </row>
    <row r="13" spans="1:6" x14ac:dyDescent="0.35">
      <c r="A13" t="s">
        <v>15</v>
      </c>
      <c r="B13">
        <v>2</v>
      </c>
      <c r="C13">
        <v>1</v>
      </c>
      <c r="E13">
        <v>1</v>
      </c>
      <c r="F13">
        <f t="shared" si="0"/>
        <v>4</v>
      </c>
    </row>
    <row r="14" spans="1:6" x14ac:dyDescent="0.35">
      <c r="A14" t="s">
        <v>16</v>
      </c>
      <c r="B14">
        <v>1</v>
      </c>
      <c r="C14">
        <v>2</v>
      </c>
      <c r="E14">
        <v>1</v>
      </c>
      <c r="F14">
        <f t="shared" si="0"/>
        <v>4</v>
      </c>
    </row>
    <row r="15" spans="1:6" x14ac:dyDescent="0.35">
      <c r="A15" s="2" t="s">
        <v>17</v>
      </c>
      <c r="B15">
        <v>2</v>
      </c>
      <c r="C15">
        <v>2</v>
      </c>
      <c r="F15">
        <f t="shared" si="0"/>
        <v>4</v>
      </c>
    </row>
    <row r="16" spans="1:6" x14ac:dyDescent="0.35">
      <c r="A16" t="s">
        <v>18</v>
      </c>
      <c r="B16">
        <v>1</v>
      </c>
      <c r="C16">
        <v>1</v>
      </c>
      <c r="E16">
        <v>1</v>
      </c>
      <c r="F16">
        <f t="shared" si="0"/>
        <v>3</v>
      </c>
    </row>
    <row r="17" spans="1:6" x14ac:dyDescent="0.35">
      <c r="A17" t="s">
        <v>19</v>
      </c>
      <c r="B17">
        <v>1</v>
      </c>
      <c r="C17">
        <v>2</v>
      </c>
      <c r="E17">
        <v>1</v>
      </c>
      <c r="F17">
        <f t="shared" si="0"/>
        <v>4</v>
      </c>
    </row>
    <row r="18" spans="1:6" x14ac:dyDescent="0.35">
      <c r="A18" t="s">
        <v>20</v>
      </c>
      <c r="B18">
        <v>2</v>
      </c>
      <c r="C18">
        <v>2</v>
      </c>
      <c r="F18">
        <f t="shared" si="0"/>
        <v>4</v>
      </c>
    </row>
    <row r="19" spans="1:6" x14ac:dyDescent="0.35">
      <c r="A19" t="s">
        <v>21</v>
      </c>
      <c r="B19">
        <v>2</v>
      </c>
      <c r="C19">
        <v>2</v>
      </c>
      <c r="F19">
        <f t="shared" si="0"/>
        <v>4</v>
      </c>
    </row>
    <row r="20" spans="1:6" x14ac:dyDescent="0.35">
      <c r="A20" t="s">
        <v>22</v>
      </c>
      <c r="B20">
        <v>1</v>
      </c>
      <c r="C20">
        <v>2</v>
      </c>
      <c r="E20">
        <v>1</v>
      </c>
      <c r="F20">
        <f t="shared" si="0"/>
        <v>4</v>
      </c>
    </row>
    <row r="21" spans="1:6" x14ac:dyDescent="0.35">
      <c r="A21" t="s">
        <v>23</v>
      </c>
      <c r="B21">
        <v>1</v>
      </c>
      <c r="C21">
        <v>2</v>
      </c>
      <c r="E21">
        <v>1</v>
      </c>
      <c r="F21">
        <f t="shared" si="0"/>
        <v>4</v>
      </c>
    </row>
    <row r="23" spans="1:6" x14ac:dyDescent="0.35">
      <c r="A23" s="4" t="s">
        <v>30</v>
      </c>
      <c r="B23" s="4">
        <f>SUM(B2:B21)</f>
        <v>27</v>
      </c>
      <c r="C23" s="4">
        <f t="shared" ref="C23:F23" si="1">SUM(C2:C21)</f>
        <v>34</v>
      </c>
      <c r="D23" s="4">
        <f t="shared" si="1"/>
        <v>2</v>
      </c>
      <c r="E23" s="4">
        <f t="shared" si="1"/>
        <v>17</v>
      </c>
      <c r="F23" s="4">
        <f t="shared" si="1"/>
        <v>80</v>
      </c>
    </row>
    <row r="24" spans="1:6" x14ac:dyDescent="0.35">
      <c r="A24" s="5" t="s">
        <v>31</v>
      </c>
      <c r="B24" s="6">
        <f>B23/$F23</f>
        <v>0.33750000000000002</v>
      </c>
      <c r="C24" s="6">
        <f t="shared" ref="C24:F24" si="2">C23/$F23</f>
        <v>0.42499999999999999</v>
      </c>
      <c r="D24" s="6">
        <f t="shared" si="2"/>
        <v>2.5000000000000001E-2</v>
      </c>
      <c r="E24" s="6">
        <f t="shared" si="2"/>
        <v>0.21249999999999999</v>
      </c>
      <c r="F24" s="6">
        <f t="shared" si="2"/>
        <v>1</v>
      </c>
    </row>
    <row r="26" spans="1:6" x14ac:dyDescent="0.35">
      <c r="A26" s="2" t="s">
        <v>32</v>
      </c>
      <c r="B26" s="2">
        <v>16</v>
      </c>
      <c r="C26" s="2">
        <v>30</v>
      </c>
      <c r="D26" s="2">
        <v>1</v>
      </c>
      <c r="E26" s="2">
        <v>13</v>
      </c>
      <c r="F26" s="2">
        <v>60</v>
      </c>
    </row>
    <row r="27" spans="1:6" x14ac:dyDescent="0.35">
      <c r="A27" s="2" t="s">
        <v>33</v>
      </c>
      <c r="B27" s="6">
        <f>B26/$F26</f>
        <v>0.26666666666666666</v>
      </c>
      <c r="C27" s="6">
        <f t="shared" ref="C27:F27" si="3">C26/$F26</f>
        <v>0.5</v>
      </c>
      <c r="D27" s="6">
        <f t="shared" si="3"/>
        <v>1.6666666666666666E-2</v>
      </c>
      <c r="E27" s="6">
        <f t="shared" si="3"/>
        <v>0.21666666666666667</v>
      </c>
      <c r="F27" s="6">
        <f t="shared" si="3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5289-066E-441F-A5B3-5172AB2133EB}">
  <dimension ref="A1:R242"/>
  <sheetViews>
    <sheetView tabSelected="1" topLeftCell="A187" zoomScale="50" zoomScaleNormal="50" workbookViewId="0">
      <selection activeCell="P24" sqref="P24"/>
    </sheetView>
  </sheetViews>
  <sheetFormatPr defaultRowHeight="14.5" x14ac:dyDescent="0.35"/>
  <cols>
    <col min="1" max="1" width="36.7265625" bestFit="1" customWidth="1"/>
    <col min="2" max="2" width="15.54296875" bestFit="1" customWidth="1"/>
    <col min="3" max="3" width="6.81640625" customWidth="1"/>
    <col min="4" max="4" width="9.1796875" bestFit="1" customWidth="1"/>
    <col min="5" max="5" width="9.81640625" bestFit="1" customWidth="1"/>
    <col min="7" max="7" width="9.7265625" bestFit="1" customWidth="1"/>
  </cols>
  <sheetData>
    <row r="1" spans="1:18" x14ac:dyDescent="0.35">
      <c r="A1" t="s">
        <v>34</v>
      </c>
      <c r="B1" t="s">
        <v>35</v>
      </c>
      <c r="C1" t="s">
        <v>36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37</v>
      </c>
      <c r="J1" t="s">
        <v>38</v>
      </c>
      <c r="K1" t="s">
        <v>39</v>
      </c>
      <c r="L1" s="8" t="s">
        <v>40</v>
      </c>
      <c r="M1" s="8" t="s">
        <v>41</v>
      </c>
      <c r="N1" s="8" t="s">
        <v>42</v>
      </c>
      <c r="O1" s="8" t="s">
        <v>43</v>
      </c>
      <c r="P1" s="8" t="s">
        <v>44</v>
      </c>
      <c r="Q1" t="s">
        <v>45</v>
      </c>
      <c r="R1" t="s">
        <v>46</v>
      </c>
    </row>
    <row r="2" spans="1:18" x14ac:dyDescent="0.35">
      <c r="A2" t="s">
        <v>4</v>
      </c>
      <c r="B2">
        <v>4</v>
      </c>
      <c r="C2">
        <f>100/(B2+1)</f>
        <v>20</v>
      </c>
      <c r="D2" s="6">
        <v>0.15361190610177666</v>
      </c>
      <c r="E2" s="6">
        <v>0.43494899107645313</v>
      </c>
      <c r="F2" s="6">
        <v>3.3484030066725623E-2</v>
      </c>
      <c r="G2" s="6">
        <v>0.24245079387410567</v>
      </c>
      <c r="H2" s="6">
        <v>2.3063027574563875E-2</v>
      </c>
      <c r="I2" s="6">
        <v>2.6828611624728674E-2</v>
      </c>
      <c r="J2" s="6">
        <v>1.022877642897339E-2</v>
      </c>
      <c r="K2" s="6">
        <v>2.5600289412332177E-2</v>
      </c>
      <c r="L2" s="9">
        <v>9.2853123241418128E-3</v>
      </c>
      <c r="M2" s="9">
        <v>9.6068815821207486E-3</v>
      </c>
      <c r="N2" s="9">
        <v>2.9946137149288528E-3</v>
      </c>
      <c r="O2" s="9">
        <v>7.1951121472787205E-3</v>
      </c>
      <c r="P2" s="9">
        <v>2.029905940992041E-3</v>
      </c>
      <c r="Q2" s="6">
        <v>1.9133370849746763E-2</v>
      </c>
      <c r="R2" s="6">
        <v>0</v>
      </c>
    </row>
    <row r="3" spans="1:18" x14ac:dyDescent="0.35">
      <c r="A3" s="2" t="s">
        <v>92</v>
      </c>
      <c r="B3" s="10" t="s">
        <v>57</v>
      </c>
      <c r="C3" t="s">
        <v>26</v>
      </c>
      <c r="D3">
        <f>D2*100</f>
        <v>15.361190610177665</v>
      </c>
      <c r="E3" s="11">
        <f>(E2*100)-C2</f>
        <v>23.49489910764531</v>
      </c>
      <c r="F3">
        <f t="shared" ref="F3:K3" si="0">F2*100</f>
        <v>3.3484030066725623</v>
      </c>
      <c r="G3">
        <f t="shared" si="0"/>
        <v>24.245079387410566</v>
      </c>
      <c r="H3">
        <f t="shared" si="0"/>
        <v>2.3063027574563875</v>
      </c>
      <c r="I3">
        <f t="shared" si="0"/>
        <v>2.6828611624728675</v>
      </c>
      <c r="J3">
        <f t="shared" si="0"/>
        <v>1.022877642897339</v>
      </c>
      <c r="K3">
        <f t="shared" si="0"/>
        <v>2.5600289412332176</v>
      </c>
      <c r="L3" s="15"/>
      <c r="M3" s="15"/>
      <c r="N3" s="15"/>
      <c r="O3" s="15"/>
      <c r="P3" s="15"/>
    </row>
    <row r="4" spans="1:18" x14ac:dyDescent="0.35">
      <c r="B4" s="2"/>
      <c r="C4" t="s">
        <v>49</v>
      </c>
      <c r="D4">
        <f>D3</f>
        <v>15.361190610177665</v>
      </c>
      <c r="E4">
        <f t="shared" ref="E4:K5" si="1">E3</f>
        <v>23.49489910764531</v>
      </c>
      <c r="F4">
        <f t="shared" si="1"/>
        <v>3.3484030066725623</v>
      </c>
      <c r="G4" s="11">
        <f>G3-C2</f>
        <v>4.2450793874105663</v>
      </c>
      <c r="H4">
        <f t="shared" si="1"/>
        <v>2.3063027574563875</v>
      </c>
      <c r="I4">
        <f t="shared" si="1"/>
        <v>2.6828611624728675</v>
      </c>
      <c r="J4">
        <f t="shared" si="1"/>
        <v>1.022877642897339</v>
      </c>
      <c r="K4">
        <f t="shared" si="1"/>
        <v>2.5600289412332176</v>
      </c>
      <c r="L4" s="15"/>
      <c r="M4" s="15"/>
      <c r="N4" s="15"/>
      <c r="O4" s="15"/>
      <c r="P4" s="15"/>
    </row>
    <row r="5" spans="1:18" x14ac:dyDescent="0.35">
      <c r="B5" s="2"/>
      <c r="C5" t="s">
        <v>26</v>
      </c>
      <c r="D5">
        <f>D4</f>
        <v>15.361190610177665</v>
      </c>
      <c r="E5" s="11">
        <f>E4-C2</f>
        <v>3.4948991076453098</v>
      </c>
      <c r="F5">
        <f t="shared" si="1"/>
        <v>3.3484030066725623</v>
      </c>
      <c r="G5">
        <f t="shared" si="1"/>
        <v>4.2450793874105663</v>
      </c>
      <c r="H5">
        <f t="shared" si="1"/>
        <v>2.3063027574563875</v>
      </c>
      <c r="I5">
        <f t="shared" si="1"/>
        <v>2.6828611624728675</v>
      </c>
      <c r="J5">
        <f t="shared" si="1"/>
        <v>1.022877642897339</v>
      </c>
      <c r="K5">
        <f t="shared" si="1"/>
        <v>2.5600289412332176</v>
      </c>
      <c r="L5" s="15"/>
      <c r="M5" s="15"/>
      <c r="N5" s="15"/>
      <c r="O5" s="15"/>
      <c r="P5" s="15"/>
    </row>
    <row r="6" spans="1:18" x14ac:dyDescent="0.35">
      <c r="B6" s="2" t="s">
        <v>71</v>
      </c>
      <c r="D6">
        <f>D5+($J5*0)</f>
        <v>15.361190610177665</v>
      </c>
      <c r="E6">
        <f t="shared" ref="E6:H6" si="2">E5+($J5*0)</f>
        <v>3.4948991076453098</v>
      </c>
      <c r="F6">
        <f t="shared" si="2"/>
        <v>3.3484030066725623</v>
      </c>
      <c r="G6">
        <f>G5+($J5*0.152)</f>
        <v>4.4005567891309623</v>
      </c>
      <c r="H6">
        <f t="shared" si="2"/>
        <v>2.3063027574563875</v>
      </c>
      <c r="I6">
        <f>I5+($J5*0.3052)</f>
        <v>2.9950434190851354</v>
      </c>
      <c r="J6" s="13"/>
      <c r="K6">
        <f>K5+($J5*0.2892)</f>
        <v>2.8558451555591278</v>
      </c>
      <c r="L6" s="15"/>
      <c r="M6" s="15"/>
      <c r="N6" s="15"/>
      <c r="O6" s="15"/>
      <c r="P6" s="15"/>
    </row>
    <row r="7" spans="1:18" x14ac:dyDescent="0.35">
      <c r="B7" s="2" t="s">
        <v>100</v>
      </c>
      <c r="D7">
        <f>D6+($H6*0)</f>
        <v>15.361190610177665</v>
      </c>
      <c r="E7">
        <f>E6+($H6*0.2754)</f>
        <v>4.1300548870487992</v>
      </c>
      <c r="F7">
        <f>F6+($H6*0.0436)</f>
        <v>3.4489578068976607</v>
      </c>
      <c r="G7">
        <f>G6+($H6*0.4247)</f>
        <v>5.3800435702226901</v>
      </c>
      <c r="H7" s="13"/>
      <c r="I7">
        <f>I6+($H6*0.0179)</f>
        <v>3.0363262384436047</v>
      </c>
      <c r="J7" s="13"/>
      <c r="K7">
        <f>K6+($H6*0)</f>
        <v>2.8558451555591278</v>
      </c>
      <c r="L7" s="15"/>
      <c r="M7" s="15"/>
      <c r="N7" s="15"/>
      <c r="O7" s="15"/>
      <c r="P7" s="15"/>
    </row>
    <row r="8" spans="1:18" x14ac:dyDescent="0.35">
      <c r="B8" s="2" t="s">
        <v>117</v>
      </c>
      <c r="D8">
        <f>D7+($K7*0.4066)</f>
        <v>16.522377250428008</v>
      </c>
      <c r="E8">
        <f>E7+($K7*0.0288)</f>
        <v>4.2123032275289019</v>
      </c>
      <c r="F8">
        <f>F7+($K7*0.0345)</f>
        <v>3.5474844647644508</v>
      </c>
      <c r="G8">
        <f t="shared" ref="G8" si="3">G7+($K7*0)</f>
        <v>5.3800435702226901</v>
      </c>
      <c r="H8" s="13"/>
      <c r="I8">
        <f>I7+($K7*0.1298)</f>
        <v>3.4070149396351797</v>
      </c>
      <c r="J8" s="13"/>
      <c r="K8" s="13"/>
      <c r="L8" s="15"/>
      <c r="M8" s="15"/>
      <c r="N8" s="15"/>
      <c r="O8" s="15"/>
      <c r="P8" s="15"/>
    </row>
    <row r="9" spans="1:18" x14ac:dyDescent="0.35">
      <c r="B9" s="2" t="s">
        <v>79</v>
      </c>
      <c r="D9">
        <f>D8+($I8*0.2936)</f>
        <v>17.522676836704896</v>
      </c>
      <c r="E9">
        <f>E8+($I8*0)</f>
        <v>4.2123032275289019</v>
      </c>
      <c r="F9">
        <f>F8+($I8*0.058)</f>
        <v>3.7450913312632914</v>
      </c>
      <c r="G9">
        <f>G8+($I8*0)</f>
        <v>5.3800435702226901</v>
      </c>
      <c r="H9" s="13"/>
      <c r="I9" s="13"/>
      <c r="J9" s="13"/>
      <c r="K9" s="13"/>
      <c r="L9" s="15"/>
      <c r="M9" s="15"/>
      <c r="N9" s="15"/>
      <c r="O9" s="15"/>
      <c r="P9" s="15"/>
    </row>
    <row r="10" spans="1:18" x14ac:dyDescent="0.35">
      <c r="B10" s="2" t="s">
        <v>85</v>
      </c>
      <c r="D10">
        <f>D9+($F9*0.0411)</f>
        <v>17.676600090419818</v>
      </c>
      <c r="E10">
        <f>E9+($F9*0.3462)</f>
        <v>5.5088538464122534</v>
      </c>
      <c r="F10" s="13"/>
      <c r="G10">
        <f>G9+($F9*0.1365)</f>
        <v>5.8912485369401297</v>
      </c>
      <c r="H10" s="13"/>
      <c r="I10" s="13"/>
      <c r="J10" s="13"/>
      <c r="K10" s="13"/>
      <c r="L10" s="15"/>
      <c r="M10" s="15"/>
      <c r="N10" s="15"/>
      <c r="O10" s="15"/>
      <c r="P10" s="15"/>
    </row>
    <row r="11" spans="1:18" x14ac:dyDescent="0.35">
      <c r="B11" s="2" t="s">
        <v>118</v>
      </c>
      <c r="D11">
        <f>D10+($E10*0.0993)</f>
        <v>18.223629277368556</v>
      </c>
      <c r="E11" s="13"/>
      <c r="F11" s="13"/>
      <c r="G11">
        <f>G10+($E10*0.5255)</f>
        <v>8.7861512332297682</v>
      </c>
      <c r="H11" s="13"/>
      <c r="I11" s="13"/>
      <c r="J11" s="13"/>
      <c r="K11" s="13"/>
      <c r="L11" s="15"/>
      <c r="M11" s="15"/>
      <c r="N11" s="15"/>
      <c r="O11" s="15"/>
      <c r="P11" s="15"/>
    </row>
    <row r="12" spans="1:18" x14ac:dyDescent="0.35">
      <c r="B12" s="2" t="s">
        <v>119</v>
      </c>
      <c r="D12">
        <f>D11+(G11*0.139)</f>
        <v>19.444904298787492</v>
      </c>
      <c r="E12" s="13"/>
      <c r="F12" s="13"/>
      <c r="G12" s="13"/>
      <c r="H12" s="13"/>
      <c r="I12" s="13"/>
      <c r="J12" s="13"/>
      <c r="K12" s="13"/>
      <c r="L12" s="15"/>
      <c r="M12" s="15"/>
      <c r="N12" s="15"/>
      <c r="O12" s="15"/>
      <c r="P12" s="15"/>
    </row>
    <row r="13" spans="1:18" x14ac:dyDescent="0.35">
      <c r="B13" s="2"/>
      <c r="C13" t="s">
        <v>56</v>
      </c>
      <c r="D13" s="11">
        <f>D12-C2</f>
        <v>-0.55509570121250817</v>
      </c>
      <c r="E13" s="13"/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"/>
    </row>
    <row r="14" spans="1:18" x14ac:dyDescent="0.35">
      <c r="B14" s="26"/>
      <c r="L14" s="15"/>
      <c r="M14" s="15"/>
      <c r="N14" s="15"/>
      <c r="O14" s="15"/>
      <c r="P14" s="15"/>
    </row>
    <row r="15" spans="1:18" x14ac:dyDescent="0.35">
      <c r="L15" s="15"/>
      <c r="M15" s="15"/>
      <c r="N15" s="15"/>
      <c r="O15" s="15"/>
      <c r="P15" s="15"/>
    </row>
    <row r="16" spans="1:18" x14ac:dyDescent="0.35">
      <c r="A16" t="s">
        <v>5</v>
      </c>
      <c r="B16">
        <v>3</v>
      </c>
      <c r="C16">
        <f>100/(B16+1)</f>
        <v>25</v>
      </c>
      <c r="D16" s="6">
        <v>0.21228152156356001</v>
      </c>
      <c r="E16" s="6">
        <v>0.21221064852204813</v>
      </c>
      <c r="F16" s="6">
        <v>5.7795150218058471E-2</v>
      </c>
      <c r="G16" s="6">
        <v>0.42334190760781781</v>
      </c>
      <c r="H16" s="6">
        <v>2.6960612178969473E-2</v>
      </c>
      <c r="I16" s="6">
        <v>1.5827689387821028E-2</v>
      </c>
      <c r="J16" s="6">
        <v>1.6814440316588599E-2</v>
      </c>
      <c r="K16" s="6">
        <v>1.6417057018252301E-2</v>
      </c>
      <c r="L16" s="9">
        <v>8.6617670812469717E-3</v>
      </c>
      <c r="M16" s="9">
        <v>1.8575351316427072E-3</v>
      </c>
      <c r="N16" s="9">
        <v>2.8266838959780326E-3</v>
      </c>
      <c r="O16" s="9">
        <v>3.9169762558552736E-3</v>
      </c>
      <c r="P16" s="9">
        <v>5.4514617993862058E-4</v>
      </c>
      <c r="Q16" s="6">
        <v>5.4514617993862058E-4</v>
      </c>
      <c r="R16" s="6">
        <v>0</v>
      </c>
    </row>
    <row r="17" spans="1:18" x14ac:dyDescent="0.35">
      <c r="A17" s="11" t="s">
        <v>47</v>
      </c>
      <c r="B17" s="12" t="s">
        <v>48</v>
      </c>
      <c r="C17" s="2" t="s">
        <v>49</v>
      </c>
      <c r="D17">
        <f>D16*100</f>
        <v>21.228152156356</v>
      </c>
      <c r="E17">
        <f t="shared" ref="E17:K17" si="4">E16*100</f>
        <v>21.221064852204812</v>
      </c>
      <c r="F17">
        <f t="shared" si="4"/>
        <v>5.7795150218058469</v>
      </c>
      <c r="G17" s="11">
        <f>(G16*100)-C16</f>
        <v>17.33419076078178</v>
      </c>
      <c r="H17">
        <f t="shared" si="4"/>
        <v>2.6960612178969474</v>
      </c>
      <c r="I17">
        <f t="shared" si="4"/>
        <v>1.5827689387821027</v>
      </c>
      <c r="J17">
        <f t="shared" si="4"/>
        <v>1.6814440316588599</v>
      </c>
      <c r="K17">
        <f t="shared" si="4"/>
        <v>1.6417057018252301</v>
      </c>
      <c r="L17" s="16"/>
      <c r="M17" s="16"/>
      <c r="N17" s="16"/>
      <c r="O17" s="16"/>
      <c r="P17" s="16"/>
      <c r="Q17" s="6"/>
      <c r="R17" s="6"/>
    </row>
    <row r="18" spans="1:18" x14ac:dyDescent="0.35">
      <c r="B18" s="2" t="s">
        <v>50</v>
      </c>
      <c r="D18">
        <f>D17+($I17*0.2936)</f>
        <v>21.692853116782427</v>
      </c>
      <c r="E18">
        <f>E17+(I17*0)</f>
        <v>21.221064852204812</v>
      </c>
      <c r="F18">
        <f>F17+(I17*0.058)</f>
        <v>5.871315620255209</v>
      </c>
      <c r="G18">
        <f>G17+(I17*0)</f>
        <v>17.33419076078178</v>
      </c>
      <c r="H18">
        <f>H17+(I17*0.0726)</f>
        <v>2.8109702428525281</v>
      </c>
      <c r="I18" s="13"/>
      <c r="J18">
        <f>J17+(I17*0.3317)</f>
        <v>2.2064484886528835</v>
      </c>
      <c r="K18">
        <f>K17+(I17*0.1386)</f>
        <v>1.8610774767404297</v>
      </c>
      <c r="L18" s="16"/>
      <c r="M18" s="16"/>
      <c r="N18" s="16"/>
      <c r="O18" s="16"/>
      <c r="P18" s="16"/>
      <c r="Q18" s="6"/>
      <c r="R18" s="6"/>
    </row>
    <row r="19" spans="1:18" x14ac:dyDescent="0.35">
      <c r="B19" s="2" t="s">
        <v>51</v>
      </c>
      <c r="D19">
        <f>D18+(K18*0.4066)</f>
        <v>22.449567218825084</v>
      </c>
      <c r="E19">
        <f>E18+(K18*0.0288)</f>
        <v>21.274663883534934</v>
      </c>
      <c r="F19">
        <f>F18+(K18*0.345)</f>
        <v>6.5133873497306576</v>
      </c>
      <c r="G19">
        <f>G18+(K18*0)</f>
        <v>17.33419076078178</v>
      </c>
      <c r="H19">
        <f>H18+(K18*0)</f>
        <v>2.8109702428525281</v>
      </c>
      <c r="I19" s="13"/>
      <c r="J19">
        <f>J18+(K18*0.2098)</f>
        <v>2.5969025432730257</v>
      </c>
      <c r="K19" s="13"/>
      <c r="L19" s="16"/>
      <c r="M19" s="16"/>
      <c r="N19" s="16"/>
      <c r="O19" s="16"/>
      <c r="P19" s="16"/>
      <c r="Q19" s="6"/>
      <c r="R19" s="6"/>
    </row>
    <row r="20" spans="1:18" x14ac:dyDescent="0.35">
      <c r="B20" s="2" t="s">
        <v>52</v>
      </c>
      <c r="D20">
        <f>D19+(J19*0)</f>
        <v>22.449567218825084</v>
      </c>
      <c r="E20">
        <f>E19+(J19*0)</f>
        <v>21.274663883534934</v>
      </c>
      <c r="F20">
        <f>F19+(J19*0)</f>
        <v>6.5133873497306576</v>
      </c>
      <c r="G20">
        <f>G19+(J19*0.152)</f>
        <v>17.72891994735928</v>
      </c>
      <c r="H20">
        <f>H19+(J19*0)</f>
        <v>2.8109702428525281</v>
      </c>
      <c r="I20" s="13"/>
      <c r="J20" s="13"/>
      <c r="K20" s="13"/>
      <c r="L20" s="16"/>
      <c r="M20" s="16"/>
      <c r="N20" s="16"/>
      <c r="O20" s="16"/>
      <c r="P20" s="16"/>
      <c r="Q20" s="6"/>
      <c r="R20" s="6"/>
    </row>
    <row r="21" spans="1:18" x14ac:dyDescent="0.35">
      <c r="B21" s="2" t="s">
        <v>53</v>
      </c>
      <c r="D21">
        <f>D20+(H20*0)</f>
        <v>22.449567218825084</v>
      </c>
      <c r="E21">
        <f>E20+(H20*0.2754)</f>
        <v>22.048805088416522</v>
      </c>
      <c r="F21">
        <f>F20+(H20*0.0436)</f>
        <v>6.6359456523190277</v>
      </c>
      <c r="G21">
        <f>G20+(H20*0.4247)</f>
        <v>18.922739009498748</v>
      </c>
      <c r="H21" s="13"/>
      <c r="I21" s="13"/>
      <c r="J21" s="13"/>
      <c r="K21" s="13"/>
      <c r="L21" s="16"/>
      <c r="M21" s="16"/>
      <c r="N21" s="16"/>
      <c r="O21" s="16"/>
      <c r="P21" s="16"/>
      <c r="Q21" s="6"/>
      <c r="R21" s="6"/>
    </row>
    <row r="22" spans="1:18" x14ac:dyDescent="0.35">
      <c r="B22" s="2" t="s">
        <v>54</v>
      </c>
      <c r="D22">
        <f>D21+(F21*0.0411)</f>
        <v>22.722304585135397</v>
      </c>
      <c r="E22">
        <f>E21+(F21*0.3462)</f>
        <v>24.346169473249368</v>
      </c>
      <c r="F22" s="13"/>
      <c r="G22">
        <f>G21+(F21*0.1365)</f>
        <v>19.828545591040296</v>
      </c>
      <c r="H22" s="13"/>
      <c r="I22" s="13"/>
      <c r="J22" s="13"/>
      <c r="K22" s="13"/>
      <c r="L22" s="16"/>
      <c r="M22" s="16"/>
      <c r="N22" s="16"/>
      <c r="O22" s="16"/>
      <c r="P22" s="16"/>
      <c r="Q22" s="6"/>
      <c r="R22" s="6"/>
    </row>
    <row r="23" spans="1:18" x14ac:dyDescent="0.35">
      <c r="B23" s="2" t="s">
        <v>55</v>
      </c>
      <c r="D23">
        <f>D22+(G22*0.095)</f>
        <v>24.606016416284227</v>
      </c>
      <c r="E23">
        <f>E22+(G22*0.4928)</f>
        <v>34.117676740514028</v>
      </c>
      <c r="F23" s="13"/>
      <c r="G23" s="13"/>
      <c r="H23" s="13"/>
      <c r="I23" s="13"/>
      <c r="J23" s="13"/>
      <c r="K23" s="13"/>
      <c r="L23" s="15"/>
      <c r="M23" s="15"/>
      <c r="N23" s="15"/>
      <c r="O23" s="15"/>
      <c r="P23" s="15"/>
    </row>
    <row r="24" spans="1:18" x14ac:dyDescent="0.35">
      <c r="B24" s="2"/>
      <c r="C24" t="s">
        <v>26</v>
      </c>
      <c r="D24">
        <f>D23</f>
        <v>24.606016416284227</v>
      </c>
      <c r="E24" s="11">
        <f>E23-C16</f>
        <v>9.1176767405140282</v>
      </c>
      <c r="F24" s="13"/>
      <c r="G24" s="13"/>
      <c r="H24" s="13"/>
      <c r="I24" s="13"/>
      <c r="J24" s="13"/>
      <c r="K24" s="13"/>
      <c r="L24" s="15"/>
      <c r="M24" s="15"/>
      <c r="N24" s="15"/>
      <c r="O24" s="15"/>
      <c r="P24" s="15"/>
    </row>
    <row r="25" spans="1:18" x14ac:dyDescent="0.35">
      <c r="B25" s="2"/>
      <c r="C25" t="s">
        <v>56</v>
      </c>
      <c r="D25" s="11">
        <f>D24-C16</f>
        <v>-0.39398358371577302</v>
      </c>
      <c r="E25">
        <f>E24</f>
        <v>9.1176767405140282</v>
      </c>
      <c r="F25" s="13"/>
      <c r="G25" s="13"/>
      <c r="H25" s="13"/>
      <c r="I25" s="13"/>
      <c r="J25" s="13"/>
      <c r="K25" s="13"/>
      <c r="L25" s="15"/>
      <c r="M25" s="15"/>
      <c r="N25" s="15"/>
      <c r="O25" s="15"/>
      <c r="P25" s="15"/>
    </row>
    <row r="26" spans="1:18" x14ac:dyDescent="0.35">
      <c r="L26" s="15"/>
      <c r="M26" s="15"/>
      <c r="N26" s="15"/>
      <c r="O26" s="15"/>
      <c r="P26" s="15"/>
    </row>
    <row r="27" spans="1:18" x14ac:dyDescent="0.35">
      <c r="A27" t="s">
        <v>6</v>
      </c>
      <c r="B27">
        <v>4</v>
      </c>
      <c r="C27">
        <f>100/(B27+1)</f>
        <v>20</v>
      </c>
      <c r="D27" s="6">
        <v>0.17889543642002656</v>
      </c>
      <c r="E27" s="6">
        <v>0.48377209127159942</v>
      </c>
      <c r="F27" s="6">
        <v>3.0009937970757641E-2</v>
      </c>
      <c r="G27" s="6">
        <v>0.16833282454585735</v>
      </c>
      <c r="H27" s="6">
        <v>1.7117352680549404E-2</v>
      </c>
      <c r="I27" s="6">
        <v>2.6642184315463006E-2</v>
      </c>
      <c r="J27" s="6">
        <v>1.468422684980062E-2</v>
      </c>
      <c r="K27" s="6">
        <v>4.485587505538325E-2</v>
      </c>
      <c r="L27" s="9">
        <v>1.648205582631812E-2</v>
      </c>
      <c r="M27" s="9">
        <v>5.1174124944616747E-3</v>
      </c>
      <c r="N27" s="9">
        <v>3.5888347363757199E-3</v>
      </c>
      <c r="O27" s="9">
        <v>8.3074878156845378E-3</v>
      </c>
      <c r="P27" s="9">
        <v>2.1931767833407176E-3</v>
      </c>
      <c r="Q27" s="6">
        <v>0</v>
      </c>
      <c r="R27" s="6">
        <v>0</v>
      </c>
    </row>
    <row r="28" spans="1:18" x14ac:dyDescent="0.35">
      <c r="B28" s="10" t="s">
        <v>57</v>
      </c>
      <c r="C28" t="s">
        <v>26</v>
      </c>
      <c r="D28">
        <f>D27*100</f>
        <v>17.889543642002657</v>
      </c>
      <c r="E28" s="11">
        <f>(E27*100)-C27</f>
        <v>28.377209127159944</v>
      </c>
      <c r="F28">
        <f t="shared" ref="F28:K28" si="5">F27*100</f>
        <v>3.0009937970757643</v>
      </c>
      <c r="G28">
        <f t="shared" si="5"/>
        <v>16.833282454585735</v>
      </c>
      <c r="H28">
        <f t="shared" si="5"/>
        <v>1.7117352680549405</v>
      </c>
      <c r="I28">
        <f t="shared" si="5"/>
        <v>2.6642184315463004</v>
      </c>
      <c r="J28">
        <f t="shared" si="5"/>
        <v>1.4684226849800621</v>
      </c>
      <c r="K28">
        <f t="shared" si="5"/>
        <v>4.4855875055383247</v>
      </c>
      <c r="L28" s="15"/>
      <c r="M28" s="15"/>
      <c r="N28" s="15"/>
      <c r="O28" s="15"/>
      <c r="P28" s="15"/>
    </row>
    <row r="29" spans="1:18" x14ac:dyDescent="0.35">
      <c r="C29" t="s">
        <v>26</v>
      </c>
      <c r="D29">
        <f>D28</f>
        <v>17.889543642002657</v>
      </c>
      <c r="E29" s="11">
        <f>E28-C27</f>
        <v>8.3772091271599436</v>
      </c>
      <c r="F29">
        <f t="shared" ref="F29:K29" si="6">F28</f>
        <v>3.0009937970757643</v>
      </c>
      <c r="G29">
        <f t="shared" si="6"/>
        <v>16.833282454585735</v>
      </c>
      <c r="H29">
        <f t="shared" si="6"/>
        <v>1.7117352680549405</v>
      </c>
      <c r="I29">
        <f t="shared" si="6"/>
        <v>2.6642184315463004</v>
      </c>
      <c r="J29">
        <f t="shared" si="6"/>
        <v>1.4684226849800621</v>
      </c>
      <c r="K29">
        <f t="shared" si="6"/>
        <v>4.4855875055383247</v>
      </c>
      <c r="L29" s="15"/>
      <c r="M29" s="15"/>
      <c r="N29" s="15"/>
      <c r="O29" s="15"/>
      <c r="P29" s="15"/>
    </row>
    <row r="30" spans="1:18" x14ac:dyDescent="0.35">
      <c r="B30" t="s">
        <v>71</v>
      </c>
      <c r="D30">
        <f>D29+($J29*0)</f>
        <v>17.889543642002657</v>
      </c>
      <c r="E30">
        <f t="shared" ref="E30:H30" si="7">E29+($J29*0)</f>
        <v>8.3772091271599436</v>
      </c>
      <c r="F30">
        <f t="shared" si="7"/>
        <v>3.0009937970757643</v>
      </c>
      <c r="G30">
        <f>G29+($J29*0.152)</f>
        <v>17.056482702702706</v>
      </c>
      <c r="H30">
        <f t="shared" si="7"/>
        <v>1.7117352680549405</v>
      </c>
      <c r="I30">
        <f>I29+($J29*0.3052)</f>
        <v>3.1123810350022154</v>
      </c>
      <c r="J30" s="13"/>
      <c r="K30">
        <f>K29+($J29*0.2892)</f>
        <v>4.9102553460345586</v>
      </c>
      <c r="L30" s="15"/>
      <c r="M30" s="15"/>
      <c r="N30" s="15"/>
      <c r="O30" s="15"/>
      <c r="P30" s="15"/>
    </row>
    <row r="31" spans="1:18" x14ac:dyDescent="0.35">
      <c r="B31" t="s">
        <v>100</v>
      </c>
      <c r="D31">
        <f>D30+($H30*0)</f>
        <v>17.889543642002657</v>
      </c>
      <c r="E31">
        <f>E30+($H30*0.2754)</f>
        <v>8.848621019982275</v>
      </c>
      <c r="F31">
        <f>F30+($H30*0.0436)</f>
        <v>3.0756254547629598</v>
      </c>
      <c r="G31">
        <f>G30+($H30*0.4247)</f>
        <v>17.783456671045638</v>
      </c>
      <c r="H31" s="13"/>
      <c r="I31">
        <f>I30+($H30*0.0179)</f>
        <v>3.1430210963003988</v>
      </c>
      <c r="J31" s="13"/>
      <c r="K31">
        <f t="shared" ref="K31" si="8">K30+($H30*0)</f>
        <v>4.9102553460345586</v>
      </c>
      <c r="L31" s="15"/>
      <c r="M31" s="15"/>
      <c r="N31" s="15"/>
      <c r="O31" s="15"/>
      <c r="P31" s="15"/>
    </row>
    <row r="32" spans="1:18" x14ac:dyDescent="0.35">
      <c r="B32" t="s">
        <v>85</v>
      </c>
      <c r="D32">
        <f>D31+($F31*0.0411)</f>
        <v>18.015951848193414</v>
      </c>
      <c r="E32">
        <f>E31+($F31*0.3462)</f>
        <v>9.9134025524212124</v>
      </c>
      <c r="F32" s="13"/>
      <c r="G32">
        <f>G31+($F31*0.1365)</f>
        <v>18.203279545620781</v>
      </c>
      <c r="H32" s="13"/>
      <c r="I32">
        <f>I31+($F31*0)</f>
        <v>3.1430210963003988</v>
      </c>
      <c r="J32" s="13"/>
      <c r="K32">
        <f>K31+($F31*0.0113)</f>
        <v>4.9450099136733803</v>
      </c>
      <c r="L32" s="15"/>
      <c r="M32" s="15"/>
      <c r="N32" s="15"/>
      <c r="O32" s="15"/>
      <c r="P32" s="15"/>
    </row>
    <row r="33" spans="1:18" x14ac:dyDescent="0.35">
      <c r="B33" t="s">
        <v>79</v>
      </c>
      <c r="D33">
        <f>D32+($I32*0.2936)</f>
        <v>18.93874284206721</v>
      </c>
      <c r="E33">
        <f>E32+($I32*0)</f>
        <v>9.9134025524212124</v>
      </c>
      <c r="F33" s="13"/>
      <c r="G33">
        <f>G32+($I32*0)</f>
        <v>18.203279545620781</v>
      </c>
      <c r="H33" s="13"/>
      <c r="I33" s="13"/>
      <c r="J33" s="13"/>
      <c r="K33">
        <f>K32+($I32*0.1386)</f>
        <v>5.3806326376206153</v>
      </c>
      <c r="L33" s="15"/>
      <c r="M33" s="15"/>
      <c r="N33" s="15"/>
      <c r="O33" s="15"/>
      <c r="P33" s="15"/>
    </row>
    <row r="34" spans="1:18" x14ac:dyDescent="0.35">
      <c r="B34" t="s">
        <v>117</v>
      </c>
      <c r="D34">
        <f>D33+($K33*0.4066)</f>
        <v>21.126508072523752</v>
      </c>
      <c r="E34">
        <f>E33+($K33*0.0288)</f>
        <v>10.068364772384687</v>
      </c>
      <c r="F34" s="13"/>
      <c r="G34">
        <f>G33+($K33*0)</f>
        <v>18.203279545620781</v>
      </c>
      <c r="H34" s="13"/>
      <c r="I34" s="13"/>
      <c r="J34" s="13"/>
      <c r="K34" s="13"/>
      <c r="L34" s="15"/>
      <c r="M34" s="15"/>
      <c r="N34" s="15"/>
      <c r="O34" s="15"/>
      <c r="P34" s="15"/>
    </row>
    <row r="35" spans="1:18" x14ac:dyDescent="0.35">
      <c r="C35" t="s">
        <v>56</v>
      </c>
      <c r="D35" s="11">
        <f>D34-C27</f>
        <v>1.1265080725237517</v>
      </c>
      <c r="E35">
        <f>E34</f>
        <v>10.068364772384687</v>
      </c>
      <c r="F35" s="13"/>
      <c r="G35">
        <f>G34</f>
        <v>18.203279545620781</v>
      </c>
      <c r="H35" s="13"/>
      <c r="I35" s="13"/>
      <c r="J35" s="13"/>
      <c r="K35" s="13"/>
      <c r="L35" s="15"/>
      <c r="M35" s="15"/>
      <c r="N35" s="15"/>
      <c r="O35" s="15"/>
      <c r="P35" s="15"/>
    </row>
    <row r="36" spans="1:18" x14ac:dyDescent="0.35">
      <c r="B36" t="s">
        <v>96</v>
      </c>
      <c r="D36" s="13"/>
      <c r="E36">
        <f>E35+($D35*0.1136)</f>
        <v>10.196336089423385</v>
      </c>
      <c r="F36" s="13"/>
      <c r="G36">
        <f>G35+($D35*0.1648)</f>
        <v>18.388928075972697</v>
      </c>
      <c r="H36" s="13"/>
      <c r="I36" s="13"/>
      <c r="J36" s="13"/>
      <c r="K36" s="13"/>
      <c r="L36" s="15"/>
      <c r="M36" s="15"/>
      <c r="N36" s="15"/>
      <c r="O36" s="15"/>
      <c r="P36" s="15"/>
    </row>
    <row r="37" spans="1:18" x14ac:dyDescent="0.35">
      <c r="B37" t="s">
        <v>120</v>
      </c>
      <c r="D37" s="13"/>
      <c r="E37" s="13"/>
      <c r="F37" s="13"/>
      <c r="G37">
        <f>G36+(E36*0.4211)</f>
        <v>22.682605203228881</v>
      </c>
      <c r="H37" s="13"/>
      <c r="I37" s="13"/>
      <c r="J37" s="13"/>
      <c r="K37" s="13"/>
      <c r="L37" s="15"/>
      <c r="M37" s="15"/>
      <c r="N37" s="15"/>
      <c r="O37" s="15"/>
      <c r="P37" s="15"/>
    </row>
    <row r="38" spans="1:18" x14ac:dyDescent="0.35">
      <c r="C38" t="s">
        <v>49</v>
      </c>
      <c r="D38" s="13"/>
      <c r="E38" s="13"/>
      <c r="F38" s="13"/>
      <c r="G38" s="11">
        <f>G37-C27</f>
        <v>2.6826052032288814</v>
      </c>
      <c r="H38" s="13"/>
      <c r="I38" s="13"/>
      <c r="J38" s="13"/>
      <c r="K38" s="13"/>
      <c r="L38" s="15"/>
      <c r="M38" s="15"/>
      <c r="N38" s="15"/>
      <c r="O38" s="15"/>
      <c r="P38" s="15"/>
    </row>
    <row r="39" spans="1:18" x14ac:dyDescent="0.35">
      <c r="B39" s="26"/>
      <c r="L39" s="15"/>
      <c r="M39" s="15"/>
      <c r="N39" s="15"/>
      <c r="O39" s="15"/>
      <c r="P39" s="15"/>
    </row>
    <row r="40" spans="1:18" x14ac:dyDescent="0.35">
      <c r="A40" t="s">
        <v>7</v>
      </c>
      <c r="B40">
        <v>3</v>
      </c>
      <c r="C40">
        <f>100/(B40+1)</f>
        <v>25</v>
      </c>
      <c r="D40" s="6">
        <v>0.36336639757997857</v>
      </c>
      <c r="E40" s="6">
        <v>0.2208423925851668</v>
      </c>
      <c r="F40" s="6">
        <v>0.15486988163703194</v>
      </c>
      <c r="G40" s="6">
        <v>0.11733119295098401</v>
      </c>
      <c r="H40" s="6">
        <v>3.1940496667194292E-2</v>
      </c>
      <c r="I40" s="6">
        <v>1.9348690620658117E-2</v>
      </c>
      <c r="J40" s="6">
        <v>9.6149246381399614E-3</v>
      </c>
      <c r="K40" s="6">
        <v>6.494136020682742E-2</v>
      </c>
      <c r="L40" s="9">
        <v>3.2009004731001251E-3</v>
      </c>
      <c r="M40" s="9">
        <v>1.8818480803390843E-3</v>
      </c>
      <c r="N40" s="9">
        <v>2.1984206546017339E-3</v>
      </c>
      <c r="O40" s="9">
        <v>4.5199528658611656E-3</v>
      </c>
      <c r="P40" s="9">
        <v>1.0552419142088323E-3</v>
      </c>
      <c r="Q40" s="6">
        <v>0</v>
      </c>
      <c r="R40" s="6">
        <v>4.8365254401238154E-3</v>
      </c>
    </row>
    <row r="41" spans="1:18" x14ac:dyDescent="0.35">
      <c r="A41" t="s">
        <v>58</v>
      </c>
      <c r="B41" s="12" t="s">
        <v>59</v>
      </c>
      <c r="C41" t="s">
        <v>56</v>
      </c>
      <c r="D41" s="11">
        <f>(D40*100)-C40</f>
        <v>11.336639757997858</v>
      </c>
      <c r="E41">
        <f>E40*100</f>
        <v>22.084239258516682</v>
      </c>
      <c r="F41">
        <f t="shared" ref="F41:K41" si="9">F40*100</f>
        <v>15.486988163703193</v>
      </c>
      <c r="G41">
        <f t="shared" si="9"/>
        <v>11.733119295098401</v>
      </c>
      <c r="H41">
        <f t="shared" si="9"/>
        <v>3.1940496667194291</v>
      </c>
      <c r="I41">
        <f t="shared" si="9"/>
        <v>1.9348690620658118</v>
      </c>
      <c r="J41">
        <f t="shared" si="9"/>
        <v>0.96149246381399611</v>
      </c>
      <c r="K41">
        <f t="shared" si="9"/>
        <v>6.4941360206827419</v>
      </c>
      <c r="L41" s="15"/>
      <c r="M41" s="15"/>
      <c r="N41" s="15"/>
      <c r="O41" s="15"/>
      <c r="P41" s="15"/>
    </row>
    <row r="42" spans="1:18" x14ac:dyDescent="0.35">
      <c r="B42" s="2" t="s">
        <v>52</v>
      </c>
      <c r="D42">
        <f>D41+(J41*0)</f>
        <v>11.336639757997858</v>
      </c>
      <c r="E42">
        <f>E41+(J41*0)</f>
        <v>22.084239258516682</v>
      </c>
      <c r="F42">
        <f>F41+(J41*0)</f>
        <v>15.486988163703193</v>
      </c>
      <c r="G42">
        <f>G41+(J41*0.152)</f>
        <v>11.879266149598129</v>
      </c>
      <c r="H42">
        <f>H41+(J41*0)</f>
        <v>3.1940496667194291</v>
      </c>
      <c r="I42">
        <f>I41+(J41*0.3052)</f>
        <v>2.2283165620218433</v>
      </c>
      <c r="J42" s="13"/>
      <c r="K42">
        <f>K41+(J41*0.2892)</f>
        <v>6.7721996412177496</v>
      </c>
      <c r="L42" s="15"/>
      <c r="M42" s="15"/>
      <c r="N42" s="15"/>
      <c r="O42" s="15"/>
      <c r="P42" s="15"/>
    </row>
    <row r="43" spans="1:18" x14ac:dyDescent="0.35">
      <c r="B43" s="2" t="s">
        <v>50</v>
      </c>
      <c r="D43">
        <f>D42+(I42*0.2936)</f>
        <v>11.990873500607471</v>
      </c>
      <c r="E43">
        <f>E42+(I42*0)</f>
        <v>22.084239258516682</v>
      </c>
      <c r="F43">
        <f>F42+(I42*0.058)</f>
        <v>15.616230524300461</v>
      </c>
      <c r="G43">
        <f>G42+(I42*0)</f>
        <v>11.879266149598129</v>
      </c>
      <c r="H43">
        <f>H42+(I42*0.726)</f>
        <v>4.8118074907472872</v>
      </c>
      <c r="I43" s="13"/>
      <c r="J43" s="13"/>
      <c r="K43">
        <f>K42+(I42*0.1386)</f>
        <v>7.0810443167139772</v>
      </c>
      <c r="L43" s="15"/>
      <c r="M43" s="15"/>
      <c r="N43" s="15"/>
      <c r="O43" s="15"/>
      <c r="P43" s="15"/>
    </row>
    <row r="44" spans="1:18" x14ac:dyDescent="0.35">
      <c r="B44" s="2" t="s">
        <v>60</v>
      </c>
      <c r="D44">
        <f>D43+(H43*0)</f>
        <v>11.990873500607471</v>
      </c>
      <c r="E44">
        <f>E43+(H43*0.2754)</f>
        <v>23.409411041468484</v>
      </c>
      <c r="F44">
        <f>F43+(H43*0.0436)</f>
        <v>15.826025330897043</v>
      </c>
      <c r="G44">
        <f>G43+(H43*0.4247)</f>
        <v>13.922840790918501</v>
      </c>
      <c r="H44" s="13"/>
      <c r="I44" s="13"/>
      <c r="J44" s="13"/>
      <c r="L44" s="15"/>
      <c r="M44" s="15"/>
      <c r="N44" s="15"/>
      <c r="O44" s="15"/>
      <c r="P44" s="15"/>
    </row>
    <row r="45" spans="1:18" x14ac:dyDescent="0.35">
      <c r="B45" s="2" t="s">
        <v>61</v>
      </c>
      <c r="D45" s="13"/>
      <c r="E45">
        <f>E44+(D44*0.1035)</f>
        <v>24.650466448781359</v>
      </c>
      <c r="F45">
        <f>F44+(D44*0.1277)</f>
        <v>17.357259876924616</v>
      </c>
      <c r="G45">
        <f>G44+(D44*0.1497)</f>
        <v>15.71787455395944</v>
      </c>
      <c r="H45" s="13"/>
      <c r="I45" s="13"/>
      <c r="J45" s="13"/>
      <c r="L45" s="15"/>
      <c r="M45" s="15"/>
      <c r="N45" s="15"/>
      <c r="O45" s="15"/>
      <c r="P45" s="15"/>
    </row>
    <row r="46" spans="1:18" x14ac:dyDescent="0.35">
      <c r="B46" s="2" t="s">
        <v>62</v>
      </c>
      <c r="D46" s="13"/>
      <c r="E46">
        <f>E45+(G45*0.4561)</f>
        <v>31.81938903284226</v>
      </c>
      <c r="F46">
        <f>F45+(G45*0.0593)</f>
        <v>18.28932983797441</v>
      </c>
      <c r="G46" s="13"/>
      <c r="H46" s="13"/>
      <c r="I46" s="13"/>
      <c r="J46" s="13"/>
      <c r="L46" s="15"/>
      <c r="M46" s="15"/>
      <c r="N46" s="15"/>
      <c r="O46" s="15"/>
      <c r="P46" s="15"/>
    </row>
    <row r="47" spans="1:18" x14ac:dyDescent="0.35">
      <c r="B47" s="2"/>
      <c r="C47" t="s">
        <v>26</v>
      </c>
      <c r="D47" s="13"/>
      <c r="E47" s="11">
        <f>E46-C40</f>
        <v>6.8193890328422597</v>
      </c>
      <c r="F47">
        <f>F46</f>
        <v>18.28932983797441</v>
      </c>
      <c r="G47" s="13"/>
      <c r="H47" s="13"/>
      <c r="I47" s="13"/>
      <c r="J47" s="13"/>
      <c r="L47" s="15"/>
      <c r="M47" s="15"/>
      <c r="N47" s="15"/>
      <c r="O47" s="15"/>
      <c r="P47" s="15"/>
    </row>
    <row r="48" spans="1:18" x14ac:dyDescent="0.35">
      <c r="C48" t="s">
        <v>27</v>
      </c>
      <c r="E48">
        <f>E47</f>
        <v>6.8193890328422597</v>
      </c>
      <c r="F48" s="11">
        <f>F47</f>
        <v>18.28932983797441</v>
      </c>
      <c r="L48" s="15"/>
      <c r="M48" s="15"/>
      <c r="N48" s="15"/>
      <c r="O48" s="15"/>
      <c r="P48" s="15"/>
    </row>
    <row r="49" spans="1:18" x14ac:dyDescent="0.35">
      <c r="L49" s="15"/>
      <c r="M49" s="15"/>
      <c r="N49" s="15"/>
      <c r="O49" s="15"/>
      <c r="P49" s="15"/>
    </row>
    <row r="50" spans="1:18" x14ac:dyDescent="0.35">
      <c r="A50" s="2" t="s">
        <v>8</v>
      </c>
      <c r="B50">
        <v>5</v>
      </c>
      <c r="C50">
        <v>16.666666666666668</v>
      </c>
      <c r="D50" s="6">
        <v>0.32240963982301885</v>
      </c>
      <c r="E50" s="6">
        <v>0.37538146660721911</v>
      </c>
      <c r="F50" s="6">
        <v>4.4216682015238942E-2</v>
      </c>
      <c r="G50" s="6">
        <v>0.11760956319739316</v>
      </c>
      <c r="H50" s="6">
        <v>2.9298560461217232E-2</v>
      </c>
      <c r="I50" s="6">
        <v>2.5427518740081104E-2</v>
      </c>
      <c r="J50" s="6">
        <v>8.2317795923689142E-3</v>
      </c>
      <c r="K50" s="6">
        <v>3.8187453462158523E-2</v>
      </c>
      <c r="L50" s="9">
        <v>5.9470299426042459E-3</v>
      </c>
      <c r="M50" s="9">
        <v>9.2248115621326333E-3</v>
      </c>
      <c r="N50" s="9">
        <v>1.8255998893575824E-3</v>
      </c>
      <c r="O50" s="9">
        <v>4.6884724431228821E-3</v>
      </c>
      <c r="P50" s="9">
        <v>1.2032362907129521E-3</v>
      </c>
      <c r="Q50" s="9">
        <v>1.3332411313187194E-2</v>
      </c>
      <c r="R50" s="9">
        <v>1.2032362907129521E-3</v>
      </c>
    </row>
    <row r="51" spans="1:18" x14ac:dyDescent="0.35">
      <c r="A51" s="2" t="s">
        <v>63</v>
      </c>
      <c r="B51" s="10" t="s">
        <v>57</v>
      </c>
      <c r="C51" s="2" t="s">
        <v>26</v>
      </c>
      <c r="D51">
        <f>D50*100</f>
        <v>32.240963982301885</v>
      </c>
      <c r="E51" s="11">
        <f>(E50*100)-C50</f>
        <v>20.871479994055246</v>
      </c>
      <c r="F51">
        <f t="shared" ref="F51:K51" si="10">F50*100</f>
        <v>4.4216682015238939</v>
      </c>
      <c r="G51">
        <f t="shared" si="10"/>
        <v>11.760956319739316</v>
      </c>
      <c r="H51">
        <f t="shared" si="10"/>
        <v>2.9298560461217233</v>
      </c>
      <c r="I51">
        <f t="shared" si="10"/>
        <v>2.5427518740081103</v>
      </c>
      <c r="J51">
        <f t="shared" si="10"/>
        <v>0.82317795923689141</v>
      </c>
      <c r="K51">
        <f t="shared" si="10"/>
        <v>3.8187453462158523</v>
      </c>
    </row>
    <row r="52" spans="1:18" x14ac:dyDescent="0.35">
      <c r="C52" s="2" t="s">
        <v>56</v>
      </c>
      <c r="D52" s="11">
        <f>D51-C50</f>
        <v>15.574297315635217</v>
      </c>
      <c r="E52">
        <f t="shared" ref="E52:K53" si="11">E51</f>
        <v>20.871479994055246</v>
      </c>
      <c r="F52">
        <f t="shared" si="11"/>
        <v>4.4216682015238939</v>
      </c>
      <c r="G52">
        <f t="shared" si="11"/>
        <v>11.760956319739316</v>
      </c>
      <c r="H52">
        <f t="shared" si="11"/>
        <v>2.9298560461217233</v>
      </c>
      <c r="I52">
        <f t="shared" si="11"/>
        <v>2.5427518740081103</v>
      </c>
      <c r="J52">
        <f t="shared" si="11"/>
        <v>0.82317795923689141</v>
      </c>
      <c r="K52">
        <f t="shared" si="11"/>
        <v>3.8187453462158523</v>
      </c>
    </row>
    <row r="53" spans="1:18" x14ac:dyDescent="0.35">
      <c r="C53" s="2" t="s">
        <v>26</v>
      </c>
      <c r="D53">
        <f>D52</f>
        <v>15.574297315635217</v>
      </c>
      <c r="E53" s="11">
        <f>E52-C50</f>
        <v>4.2048133273885782</v>
      </c>
      <c r="F53">
        <f t="shared" si="11"/>
        <v>4.4216682015238939</v>
      </c>
      <c r="G53">
        <f t="shared" si="11"/>
        <v>11.760956319739316</v>
      </c>
      <c r="H53">
        <f t="shared" si="11"/>
        <v>2.9298560461217233</v>
      </c>
      <c r="I53">
        <f t="shared" si="11"/>
        <v>2.5427518740081103</v>
      </c>
      <c r="J53">
        <f t="shared" si="11"/>
        <v>0.82317795923689141</v>
      </c>
      <c r="K53">
        <f t="shared" si="11"/>
        <v>3.8187453462158523</v>
      </c>
    </row>
    <row r="54" spans="1:18" x14ac:dyDescent="0.35">
      <c r="B54" s="2" t="s">
        <v>52</v>
      </c>
      <c r="D54">
        <f>D53+($J53*0)</f>
        <v>15.574297315635217</v>
      </c>
      <c r="E54">
        <f t="shared" ref="E54:H54" si="12">E53+($J53*0)</f>
        <v>4.2048133273885782</v>
      </c>
      <c r="F54">
        <f t="shared" si="12"/>
        <v>4.4216682015238939</v>
      </c>
      <c r="G54">
        <f>G53+($J53*0.152)</f>
        <v>11.886079369543324</v>
      </c>
      <c r="H54">
        <f t="shared" si="12"/>
        <v>2.9298560461217233</v>
      </c>
      <c r="I54">
        <f>I53+($J53*0.3052)</f>
        <v>2.7939857871672098</v>
      </c>
      <c r="J54" s="13"/>
      <c r="K54">
        <f>K53+($J53*0.2892)</f>
        <v>4.056808412027161</v>
      </c>
    </row>
    <row r="55" spans="1:18" x14ac:dyDescent="0.35">
      <c r="B55" s="2" t="s">
        <v>50</v>
      </c>
      <c r="D55">
        <f>D54+($I54*0.2936)</f>
        <v>16.394611542747509</v>
      </c>
      <c r="E55">
        <f t="shared" ref="E55:G55" si="13">E54+($I54*0)</f>
        <v>4.2048133273885782</v>
      </c>
      <c r="F55">
        <f>F54+($I54*0.058)</f>
        <v>4.5837193771795919</v>
      </c>
      <c r="G55">
        <f t="shared" si="13"/>
        <v>11.886079369543324</v>
      </c>
      <c r="H55">
        <f>H54+($I54*0.0726)</f>
        <v>3.1326994142700628</v>
      </c>
      <c r="I55" s="13"/>
      <c r="J55" s="13"/>
      <c r="K55">
        <f>K54+($I54*0.1386)</f>
        <v>4.4440548421285362</v>
      </c>
    </row>
    <row r="56" spans="1:18" x14ac:dyDescent="0.35">
      <c r="B56" s="2" t="s">
        <v>64</v>
      </c>
      <c r="D56">
        <f>D55+($H55*0)</f>
        <v>16.394611542747509</v>
      </c>
      <c r="E56">
        <f>E55+($H55*0.2754)</f>
        <v>5.0675587460785536</v>
      </c>
      <c r="F56">
        <f>F55+($H55*0.0436)</f>
        <v>4.7203050716417669</v>
      </c>
      <c r="G56">
        <f>G55+($H55*0.4247)</f>
        <v>13.21653681078382</v>
      </c>
      <c r="H56" s="13"/>
      <c r="I56" s="13"/>
      <c r="J56" s="13"/>
      <c r="K56">
        <f t="shared" ref="K56" si="14">K55+($H55*0)</f>
        <v>4.4440548421285362</v>
      </c>
    </row>
    <row r="57" spans="1:18" x14ac:dyDescent="0.35">
      <c r="B57" s="2" t="s">
        <v>51</v>
      </c>
      <c r="D57">
        <f>D56+($K56*0.4066)</f>
        <v>18.201564241556973</v>
      </c>
      <c r="E57">
        <f>E56+($K56*0.0288)</f>
        <v>5.1955475255318557</v>
      </c>
      <c r="F57">
        <f>F56+($K56*0.0345)</f>
        <v>4.8736249636952014</v>
      </c>
      <c r="G57">
        <f t="shared" ref="G57" si="15">G56+($K56*0)</f>
        <v>13.21653681078382</v>
      </c>
      <c r="H57" s="13"/>
      <c r="I57" s="13"/>
      <c r="J57" s="13"/>
      <c r="K57" s="13"/>
    </row>
    <row r="58" spans="1:18" x14ac:dyDescent="0.35">
      <c r="C58" s="2" t="s">
        <v>56</v>
      </c>
      <c r="D58" s="11">
        <f>D57-C50</f>
        <v>1.5348975748903051</v>
      </c>
      <c r="E58">
        <f t="shared" ref="E58:G58" si="16">E57</f>
        <v>5.1955475255318557</v>
      </c>
      <c r="F58">
        <f t="shared" si="16"/>
        <v>4.8736249636952014</v>
      </c>
      <c r="G58">
        <f t="shared" si="16"/>
        <v>13.21653681078382</v>
      </c>
      <c r="H58" s="13"/>
      <c r="I58" s="13"/>
      <c r="J58" s="13"/>
      <c r="K58" s="13"/>
    </row>
    <row r="59" spans="1:18" x14ac:dyDescent="0.35">
      <c r="B59" s="2" t="s">
        <v>65</v>
      </c>
      <c r="D59" s="13"/>
      <c r="E59">
        <f>E58+($D58*((0.0985+0.1021)/2))</f>
        <v>5.3494977522933533</v>
      </c>
      <c r="F59">
        <f>F58+($D58*((0.1445+0.0214)/2))</f>
        <v>5.0009447175323523</v>
      </c>
      <c r="G59">
        <f>G58+($D58*((0.2051+0.2356)/2))</f>
        <v>13.554751491410899</v>
      </c>
      <c r="H59" s="13"/>
      <c r="I59" s="13"/>
      <c r="J59" s="13"/>
      <c r="K59" s="13"/>
    </row>
    <row r="60" spans="1:18" x14ac:dyDescent="0.35">
      <c r="B60" s="2" t="s">
        <v>54</v>
      </c>
      <c r="D60" s="13"/>
      <c r="E60">
        <f>E59+($F59*0.3462)</f>
        <v>7.080824813503054</v>
      </c>
      <c r="F60" s="13"/>
      <c r="G60">
        <f>G59+($F59*0.1365)</f>
        <v>14.237380445354065</v>
      </c>
      <c r="H60" s="13"/>
      <c r="I60" s="13"/>
      <c r="J60" s="13"/>
      <c r="K60" s="13"/>
    </row>
    <row r="61" spans="1:18" x14ac:dyDescent="0.35">
      <c r="C61" s="2" t="s">
        <v>49</v>
      </c>
      <c r="D61" s="13"/>
      <c r="E61">
        <f>E60+($F60*0.3462)</f>
        <v>7.080824813503054</v>
      </c>
      <c r="F61" s="13"/>
      <c r="G61" s="11">
        <f>G60+($F60*0.1365)</f>
        <v>14.237380445354065</v>
      </c>
      <c r="H61" s="13"/>
      <c r="I61" s="13"/>
      <c r="J61" s="13"/>
      <c r="K61" s="13"/>
    </row>
    <row r="63" spans="1:18" x14ac:dyDescent="0.35">
      <c r="B63" s="2"/>
    </row>
    <row r="64" spans="1:18" x14ac:dyDescent="0.35">
      <c r="A64" t="s">
        <v>9</v>
      </c>
      <c r="B64">
        <v>4</v>
      </c>
      <c r="C64">
        <f>100/(B64+1)</f>
        <v>20</v>
      </c>
      <c r="D64" s="6">
        <v>0.16457750688320499</v>
      </c>
      <c r="E64" s="6">
        <v>0.47849319061489964</v>
      </c>
      <c r="F64" s="6">
        <v>2.8784070867084316E-2</v>
      </c>
      <c r="G64" s="6">
        <v>0.22309136706436297</v>
      </c>
      <c r="H64" s="6">
        <v>1.6250217469374727E-2</v>
      </c>
      <c r="I64" s="6">
        <v>2.0278791748134552E-2</v>
      </c>
      <c r="J64" s="6">
        <v>1.1210715853317902E-2</v>
      </c>
      <c r="K64" s="6">
        <v>3.1318045967838472E-2</v>
      </c>
      <c r="L64" s="9">
        <v>8.1800407006903161E-3</v>
      </c>
      <c r="M64" s="9">
        <v>4.7484138701568172E-3</v>
      </c>
      <c r="N64" s="9">
        <v>3.4515781493156699E-3</v>
      </c>
      <c r="O64" s="9">
        <v>7.3221339930569411E-3</v>
      </c>
      <c r="P64" s="9">
        <v>2.2944016599497226E-3</v>
      </c>
      <c r="Q64">
        <v>0</v>
      </c>
      <c r="R64">
        <v>0</v>
      </c>
    </row>
    <row r="65" spans="1:18" x14ac:dyDescent="0.35">
      <c r="A65" s="2" t="s">
        <v>66</v>
      </c>
      <c r="B65" s="12" t="s">
        <v>59</v>
      </c>
      <c r="C65" t="s">
        <v>26</v>
      </c>
      <c r="D65">
        <v>16.46</v>
      </c>
      <c r="E65" s="11">
        <f>47.85-C64</f>
        <v>27.85</v>
      </c>
      <c r="F65">
        <v>2.88</v>
      </c>
      <c r="G65">
        <v>22.31</v>
      </c>
      <c r="H65">
        <v>1.63</v>
      </c>
      <c r="I65">
        <v>2.0299999999999998</v>
      </c>
      <c r="J65">
        <v>1.1200000000000001</v>
      </c>
      <c r="K65">
        <v>3.13</v>
      </c>
      <c r="L65" s="15"/>
      <c r="M65" s="15"/>
      <c r="N65" s="15"/>
      <c r="O65" s="15"/>
      <c r="P65" s="15"/>
      <c r="Q65" s="15"/>
    </row>
    <row r="66" spans="1:18" x14ac:dyDescent="0.35">
      <c r="C66" s="2" t="s">
        <v>26</v>
      </c>
      <c r="D66">
        <f>D65</f>
        <v>16.46</v>
      </c>
      <c r="E66" s="11">
        <f>E65-C64</f>
        <v>7.8500000000000014</v>
      </c>
      <c r="F66">
        <f>F65</f>
        <v>2.88</v>
      </c>
      <c r="G66">
        <f t="shared" ref="G66:K67" si="17">G65</f>
        <v>22.31</v>
      </c>
      <c r="H66">
        <f t="shared" si="17"/>
        <v>1.63</v>
      </c>
      <c r="I66">
        <f t="shared" si="17"/>
        <v>2.0299999999999998</v>
      </c>
      <c r="J66">
        <f t="shared" si="17"/>
        <v>1.1200000000000001</v>
      </c>
      <c r="K66">
        <f t="shared" si="17"/>
        <v>3.13</v>
      </c>
      <c r="L66" s="15"/>
      <c r="M66" s="15"/>
      <c r="N66" s="15"/>
      <c r="O66" s="15"/>
      <c r="P66" s="15"/>
      <c r="Q66" s="15"/>
    </row>
    <row r="67" spans="1:18" x14ac:dyDescent="0.35">
      <c r="C67" s="2" t="s">
        <v>49</v>
      </c>
      <c r="D67">
        <f>D66</f>
        <v>16.46</v>
      </c>
      <c r="E67">
        <f t="shared" ref="E67:F67" si="18">E66</f>
        <v>7.8500000000000014</v>
      </c>
      <c r="F67">
        <f t="shared" si="18"/>
        <v>2.88</v>
      </c>
      <c r="G67" s="11">
        <f>G66-C64</f>
        <v>2.3099999999999987</v>
      </c>
      <c r="H67">
        <f t="shared" si="17"/>
        <v>1.63</v>
      </c>
      <c r="I67">
        <f t="shared" si="17"/>
        <v>2.0299999999999998</v>
      </c>
      <c r="J67">
        <f t="shared" si="17"/>
        <v>1.1200000000000001</v>
      </c>
      <c r="K67">
        <f t="shared" si="17"/>
        <v>3.13</v>
      </c>
      <c r="L67" s="15"/>
      <c r="M67" s="15"/>
      <c r="N67" s="15"/>
      <c r="O67" s="15"/>
      <c r="P67" s="15"/>
      <c r="Q67" s="15"/>
    </row>
    <row r="68" spans="1:18" x14ac:dyDescent="0.35">
      <c r="B68" t="s">
        <v>52</v>
      </c>
      <c r="C68" s="2"/>
      <c r="D68">
        <f>D67+(J67*0)</f>
        <v>16.46</v>
      </c>
      <c r="E68">
        <f>E67+(J67*0)</f>
        <v>7.8500000000000014</v>
      </c>
      <c r="F68">
        <f>F67+(J67*0)</f>
        <v>2.88</v>
      </c>
      <c r="G68">
        <f>G67+(J67*0.152)</f>
        <v>2.4802399999999989</v>
      </c>
      <c r="H68">
        <f>H67+(J67*0)</f>
        <v>1.63</v>
      </c>
      <c r="I68">
        <f>I67+(J67*0.3052)</f>
        <v>2.3718239999999997</v>
      </c>
      <c r="J68" s="13"/>
      <c r="K68">
        <f>K67+(J67*0.2892)</f>
        <v>3.4539040000000001</v>
      </c>
      <c r="L68" s="15"/>
      <c r="M68" s="15"/>
      <c r="N68" s="15"/>
      <c r="O68" s="15"/>
      <c r="P68" s="15"/>
      <c r="Q68" s="15"/>
    </row>
    <row r="69" spans="1:18" x14ac:dyDescent="0.35">
      <c r="B69" t="s">
        <v>64</v>
      </c>
      <c r="C69" s="2"/>
      <c r="D69">
        <f>D68+(H68*0)</f>
        <v>16.46</v>
      </c>
      <c r="E69">
        <f>E68+(H68*0.2754)</f>
        <v>8.2989020000000018</v>
      </c>
      <c r="F69">
        <f>F68+(H68*0.0436)</f>
        <v>2.9510679999999998</v>
      </c>
      <c r="G69">
        <f>G68+(H68*0.4247)</f>
        <v>3.1725009999999987</v>
      </c>
      <c r="H69" s="13"/>
      <c r="I69">
        <f>I68+(H68*0.0179)</f>
        <v>2.4010009999999995</v>
      </c>
      <c r="J69" s="13"/>
      <c r="K69">
        <f>K68+(H68*0)</f>
        <v>3.4539040000000001</v>
      </c>
      <c r="L69" s="15"/>
      <c r="M69" s="15"/>
      <c r="N69" s="15"/>
      <c r="O69" s="15"/>
      <c r="P69" s="15"/>
      <c r="Q69" s="15"/>
    </row>
    <row r="70" spans="1:18" x14ac:dyDescent="0.35">
      <c r="B70" t="s">
        <v>50</v>
      </c>
      <c r="D70">
        <f>D69+(I69*0.2936)</f>
        <v>17.164933893600001</v>
      </c>
      <c r="E70">
        <f>E69+(I69*0)</f>
        <v>8.2989020000000018</v>
      </c>
      <c r="F70">
        <f>F69+(I69*0.058)</f>
        <v>3.0903260579999996</v>
      </c>
      <c r="G70">
        <f>G69+(I69*0)</f>
        <v>3.1725009999999987</v>
      </c>
      <c r="H70" s="13"/>
      <c r="I70" s="13"/>
      <c r="J70" s="13"/>
      <c r="K70">
        <f>K69+(I69*0.1386)</f>
        <v>3.7866827386000002</v>
      </c>
    </row>
    <row r="71" spans="1:18" x14ac:dyDescent="0.35">
      <c r="B71" t="s">
        <v>54</v>
      </c>
      <c r="D71">
        <f>D70+(F70*0.0411)</f>
        <v>17.291946294583802</v>
      </c>
      <c r="E71">
        <f>E70+(F70*0.3462)</f>
        <v>9.3687728812796021</v>
      </c>
      <c r="F71" s="13"/>
      <c r="G71">
        <f>G70+(F70*0.1365)</f>
        <v>3.5943305069169988</v>
      </c>
      <c r="H71" s="13"/>
      <c r="I71" s="13"/>
      <c r="J71" s="13"/>
      <c r="K71">
        <f>K70+(F70*0.0113)</f>
        <v>3.8216034230554001</v>
      </c>
    </row>
    <row r="72" spans="1:18" x14ac:dyDescent="0.35">
      <c r="B72" t="s">
        <v>67</v>
      </c>
      <c r="D72">
        <f>D71+(G71*0.143)</f>
        <v>17.805935557072932</v>
      </c>
      <c r="E72">
        <f>E71+(G71*0.4892)</f>
        <v>11.127119365263399</v>
      </c>
      <c r="F72" s="13"/>
      <c r="G72" s="13"/>
      <c r="H72" s="13"/>
      <c r="I72" s="13"/>
      <c r="J72" s="13"/>
      <c r="K72">
        <f>K71+(G71*0.1078)</f>
        <v>4.2090722517010528</v>
      </c>
    </row>
    <row r="73" spans="1:18" x14ac:dyDescent="0.35">
      <c r="B73" t="s">
        <v>51</v>
      </c>
      <c r="C73" s="2"/>
      <c r="D73">
        <f>D72+(K72*0.4066)</f>
        <v>19.517344334614581</v>
      </c>
      <c r="E73">
        <f>E72+(K72*0.0288)</f>
        <v>11.248340646112389</v>
      </c>
      <c r="F73" s="13"/>
      <c r="G73" s="13"/>
      <c r="H73" s="13"/>
      <c r="I73" s="13"/>
      <c r="J73" s="13"/>
      <c r="K73" s="13"/>
    </row>
    <row r="74" spans="1:18" x14ac:dyDescent="0.35">
      <c r="B74" t="s">
        <v>68</v>
      </c>
      <c r="D74">
        <f>D73+(E73*0.1863)</f>
        <v>21.612910196985318</v>
      </c>
      <c r="E74" s="13"/>
      <c r="F74" s="13"/>
      <c r="G74" s="13"/>
      <c r="H74" s="13"/>
      <c r="I74" s="13"/>
      <c r="J74" s="13"/>
      <c r="K74" s="13"/>
    </row>
    <row r="75" spans="1:18" x14ac:dyDescent="0.35">
      <c r="C75" t="s">
        <v>56</v>
      </c>
      <c r="D75" s="11">
        <f>D74-C64</f>
        <v>1.6129101969853181</v>
      </c>
      <c r="E75" s="13"/>
      <c r="F75" s="13"/>
      <c r="G75" s="13"/>
      <c r="H75" s="13"/>
      <c r="I75" s="13"/>
      <c r="J75" s="13"/>
      <c r="K75" s="13"/>
    </row>
    <row r="78" spans="1:18" x14ac:dyDescent="0.35">
      <c r="A78" t="s">
        <v>10</v>
      </c>
      <c r="B78">
        <v>5</v>
      </c>
      <c r="C78">
        <v>16.666666666666668</v>
      </c>
      <c r="D78" s="6">
        <v>0.19534792364832501</v>
      </c>
      <c r="E78" s="6">
        <v>0.42444355782743698</v>
      </c>
      <c r="F78" s="6">
        <v>0.114339798928235</v>
      </c>
      <c r="G78" s="6">
        <v>0.13229112319120401</v>
      </c>
      <c r="H78" s="6">
        <v>5.3474450604605199E-2</v>
      </c>
      <c r="I78" s="6">
        <v>1.3894346207897699E-2</v>
      </c>
      <c r="J78" s="6">
        <v>6.6210291415069603E-3</v>
      </c>
      <c r="K78" s="6">
        <v>2.6371882383827799E-2</v>
      </c>
      <c r="L78" s="9">
        <v>3.4129692832764505E-3</v>
      </c>
      <c r="M78" s="9">
        <v>1.5242537025311569E-2</v>
      </c>
      <c r="N78" s="9">
        <v>3.0577733850169105E-3</v>
      </c>
      <c r="O78" s="9">
        <v>5.7757941716986083E-3</v>
      </c>
      <c r="P78" s="9">
        <v>2.7952372863033373E-3</v>
      </c>
      <c r="Q78" s="9">
        <v>1.5597732923571109E-3</v>
      </c>
      <c r="R78" s="9">
        <v>1.3744536932651769E-3</v>
      </c>
    </row>
    <row r="79" spans="1:18" x14ac:dyDescent="0.35">
      <c r="A79" s="2" t="s">
        <v>69</v>
      </c>
      <c r="B79" s="14" t="s">
        <v>57</v>
      </c>
      <c r="C79" s="2" t="s">
        <v>26</v>
      </c>
      <c r="D79">
        <v>19.534792364832501</v>
      </c>
      <c r="E79" s="11">
        <f>42.4443557827437-C78</f>
        <v>25.777689116077031</v>
      </c>
      <c r="F79">
        <v>11.433979892823499</v>
      </c>
      <c r="G79">
        <v>13.2291123191204</v>
      </c>
      <c r="H79">
        <v>5.3474450604605197</v>
      </c>
      <c r="I79">
        <v>1.3894346207897701</v>
      </c>
      <c r="J79">
        <v>0.662102914150696</v>
      </c>
      <c r="K79">
        <v>2.6371882383827798</v>
      </c>
    </row>
    <row r="80" spans="1:18" x14ac:dyDescent="0.35">
      <c r="C80" s="2" t="s">
        <v>26</v>
      </c>
      <c r="D80">
        <v>19.534792364832501</v>
      </c>
      <c r="E80" s="11">
        <f>E79-C78</f>
        <v>9.1110224494103633</v>
      </c>
      <c r="F80">
        <v>11.433979892823499</v>
      </c>
      <c r="G80">
        <v>13.2291123191204</v>
      </c>
      <c r="H80">
        <v>5.3474450604605197</v>
      </c>
      <c r="I80">
        <v>1.3894346207897701</v>
      </c>
      <c r="J80">
        <v>0.662102914150696</v>
      </c>
      <c r="K80">
        <v>2.6371882383827798</v>
      </c>
    </row>
    <row r="81" spans="1:18" x14ac:dyDescent="0.35">
      <c r="C81" s="2" t="s">
        <v>70</v>
      </c>
      <c r="D81" s="11">
        <f>D80-C78</f>
        <v>2.8681256981658336</v>
      </c>
      <c r="E81">
        <f>E80</f>
        <v>9.1110224494103633</v>
      </c>
      <c r="F81">
        <v>11.433979892823499</v>
      </c>
      <c r="G81">
        <v>13.2291123191204</v>
      </c>
      <c r="H81">
        <v>5.3474450604605197</v>
      </c>
      <c r="I81">
        <v>1.3894346207897701</v>
      </c>
      <c r="J81">
        <v>0.662102914150696</v>
      </c>
      <c r="K81">
        <v>2.6371882383827798</v>
      </c>
    </row>
    <row r="82" spans="1:18" x14ac:dyDescent="0.35">
      <c r="B82" s="2" t="s">
        <v>71</v>
      </c>
      <c r="D82">
        <f>D81+($J81*0)</f>
        <v>2.8681256981658336</v>
      </c>
      <c r="E82">
        <f t="shared" ref="E82:H82" si="19">E81+($J81*0)</f>
        <v>9.1110224494103633</v>
      </c>
      <c r="F82">
        <f t="shared" si="19"/>
        <v>11.433979892823499</v>
      </c>
      <c r="G82">
        <f>G81+($J81*0.152)</f>
        <v>13.329751962071306</v>
      </c>
      <c r="H82">
        <f t="shared" si="19"/>
        <v>5.3474450604605197</v>
      </c>
      <c r="I82">
        <f>I81+($J81*0.3052)</f>
        <v>1.5915084301885625</v>
      </c>
      <c r="J82" s="13"/>
      <c r="K82">
        <f>K81+($J81*0.2892)</f>
        <v>2.828668401155161</v>
      </c>
    </row>
    <row r="83" spans="1:18" x14ac:dyDescent="0.35">
      <c r="B83" s="2" t="s">
        <v>50</v>
      </c>
      <c r="D83">
        <f>D82+($I82*0.2936)</f>
        <v>3.3353925732691958</v>
      </c>
      <c r="E83">
        <f t="shared" ref="E83:G83" si="20">E82+($I82*0)</f>
        <v>9.1110224494103633</v>
      </c>
      <c r="F83">
        <f>F82+($I82*0.058)</f>
        <v>11.526287381774436</v>
      </c>
      <c r="G83">
        <f t="shared" si="20"/>
        <v>13.329751962071306</v>
      </c>
      <c r="H83">
        <f>H82+($I82*0.0726)</f>
        <v>5.4629885724922094</v>
      </c>
      <c r="I83" s="13"/>
      <c r="J83" s="13"/>
      <c r="K83">
        <f>K82+($I82*0.01386)</f>
        <v>2.8507267079975747</v>
      </c>
    </row>
    <row r="84" spans="1:18" x14ac:dyDescent="0.35">
      <c r="B84" s="2" t="s">
        <v>51</v>
      </c>
      <c r="D84">
        <f>D83+($K83*0.4066)</f>
        <v>4.4944980527410099</v>
      </c>
      <c r="E84">
        <f>E83+($K83*0.0288)</f>
        <v>9.1931233786006938</v>
      </c>
      <c r="F84">
        <f>F83+($K83*0.0345)</f>
        <v>11.624637453200352</v>
      </c>
      <c r="G84">
        <f>G83+($K83*0)</f>
        <v>13.329751962071306</v>
      </c>
      <c r="H84">
        <f t="shared" ref="H84" si="21">H83+($K83*0)</f>
        <v>5.4629885724922094</v>
      </c>
      <c r="I84" s="13"/>
      <c r="J84" s="13"/>
      <c r="K84" s="13"/>
    </row>
    <row r="85" spans="1:18" x14ac:dyDescent="0.35">
      <c r="B85" s="2" t="s">
        <v>72</v>
      </c>
      <c r="D85" s="13"/>
      <c r="E85">
        <f>E84+($D84*0.0985)</f>
        <v>9.6358314367956837</v>
      </c>
      <c r="F85">
        <f>F84+($D84*0.1445)</f>
        <v>12.274092421821427</v>
      </c>
      <c r="G85">
        <f>G84+($D84*0.2051)</f>
        <v>14.251573512688488</v>
      </c>
      <c r="H85">
        <f>H84+($D84*0.0441)</f>
        <v>5.6611959366180882</v>
      </c>
      <c r="I85" s="13"/>
      <c r="J85" s="13"/>
      <c r="K85" s="13"/>
    </row>
    <row r="86" spans="1:18" x14ac:dyDescent="0.35">
      <c r="B86" s="2" t="s">
        <v>60</v>
      </c>
      <c r="D86" s="13"/>
      <c r="E86">
        <f>E85+($H85*0.2754)</f>
        <v>11.194924797740304</v>
      </c>
      <c r="F86">
        <f>F85+($H85*0.0436)</f>
        <v>12.520920564657976</v>
      </c>
      <c r="G86">
        <f>G85+($H85*0.4247)</f>
        <v>16.655883426970192</v>
      </c>
      <c r="H86" s="13"/>
      <c r="I86" s="13"/>
      <c r="J86" s="13"/>
      <c r="K86" s="13"/>
    </row>
    <row r="87" spans="1:18" x14ac:dyDescent="0.35">
      <c r="B87" s="2" t="s">
        <v>73</v>
      </c>
      <c r="C87" s="2" t="s">
        <v>49</v>
      </c>
      <c r="D87" s="13"/>
      <c r="E87" s="13"/>
      <c r="F87">
        <f>F86+($E86*0.1403)</f>
        <v>14.09156851378094</v>
      </c>
      <c r="G87" s="11">
        <f>G86+($E86*0.3897)</f>
        <v>21.01854562064959</v>
      </c>
      <c r="H87" s="13"/>
      <c r="I87" s="13"/>
      <c r="J87" s="13"/>
      <c r="K87" s="13"/>
    </row>
    <row r="88" spans="1:18" x14ac:dyDescent="0.35">
      <c r="B88" s="2" t="s">
        <v>74</v>
      </c>
      <c r="C88" s="2" t="s">
        <v>27</v>
      </c>
      <c r="F88" s="11">
        <f>F87+(G88*0.0129)</f>
        <v>14.147707752287319</v>
      </c>
      <c r="G88">
        <f>G87-C78</f>
        <v>4.3518789539829221</v>
      </c>
    </row>
    <row r="90" spans="1:18" x14ac:dyDescent="0.35">
      <c r="A90" s="2" t="s">
        <v>11</v>
      </c>
      <c r="B90">
        <v>5</v>
      </c>
      <c r="C90">
        <v>16.666666666666668</v>
      </c>
      <c r="D90" s="6">
        <v>0.24407221267286505</v>
      </c>
      <c r="E90" s="6">
        <v>0.38875585071750401</v>
      </c>
      <c r="F90" s="6">
        <v>6.9539810401854307E-2</v>
      </c>
      <c r="G90" s="6">
        <v>0.13920270724275333</v>
      </c>
      <c r="H90" s="6">
        <v>5.3083072896320027E-2</v>
      </c>
      <c r="I90" s="6">
        <v>1.1478698856681511E-2</v>
      </c>
      <c r="J90" s="6">
        <v>6.2524025314477693E-3</v>
      </c>
      <c r="K90" s="6">
        <v>3.2904361017787848E-2</v>
      </c>
      <c r="L90" s="9">
        <v>2.630413834414147E-3</v>
      </c>
      <c r="M90" s="9">
        <v>4.2151730603953434E-2</v>
      </c>
      <c r="N90" s="9">
        <v>1.6537750345079043E-3</v>
      </c>
      <c r="O90" s="9">
        <v>4.1669922129333025E-3</v>
      </c>
      <c r="P90" s="9">
        <v>1.6277313331770711E-3</v>
      </c>
      <c r="Q90" s="9">
        <v>1.4454254238612393E-3</v>
      </c>
      <c r="R90" s="9">
        <v>1.0417480532333256E-3</v>
      </c>
    </row>
    <row r="91" spans="1:18" x14ac:dyDescent="0.35">
      <c r="A91" s="2" t="s">
        <v>75</v>
      </c>
      <c r="B91" s="14" t="s">
        <v>57</v>
      </c>
      <c r="C91" s="2" t="s">
        <v>26</v>
      </c>
      <c r="D91">
        <f>D90*100</f>
        <v>24.407221267286506</v>
      </c>
      <c r="E91" s="11">
        <f>(E90*100)-C90</f>
        <v>22.208918405083732</v>
      </c>
      <c r="F91">
        <f t="shared" ref="F91:K91" si="22">F90*100</f>
        <v>6.9539810401854307</v>
      </c>
      <c r="G91">
        <f t="shared" si="22"/>
        <v>13.920270724275333</v>
      </c>
      <c r="H91">
        <f t="shared" si="22"/>
        <v>5.3083072896320029</v>
      </c>
      <c r="I91">
        <f t="shared" si="22"/>
        <v>1.1478698856681511</v>
      </c>
      <c r="J91">
        <f t="shared" si="22"/>
        <v>0.62524025314477694</v>
      </c>
      <c r="K91">
        <f t="shared" si="22"/>
        <v>3.2904361017787846</v>
      </c>
    </row>
    <row r="92" spans="1:18" x14ac:dyDescent="0.35">
      <c r="C92" s="2" t="s">
        <v>56</v>
      </c>
      <c r="D92" s="11">
        <f>D91-C90</f>
        <v>7.7405546006198378</v>
      </c>
      <c r="E92">
        <f>E91</f>
        <v>22.208918405083732</v>
      </c>
      <c r="F92">
        <f>F91</f>
        <v>6.9539810401854307</v>
      </c>
      <c r="G92">
        <f t="shared" ref="G92:K93" si="23">G91</f>
        <v>13.920270724275333</v>
      </c>
      <c r="H92">
        <f t="shared" si="23"/>
        <v>5.3083072896320029</v>
      </c>
      <c r="I92">
        <f t="shared" si="23"/>
        <v>1.1478698856681511</v>
      </c>
      <c r="J92">
        <f t="shared" si="23"/>
        <v>0.62524025314477694</v>
      </c>
      <c r="K92">
        <f t="shared" si="23"/>
        <v>3.2904361017787846</v>
      </c>
    </row>
    <row r="93" spans="1:18" x14ac:dyDescent="0.35">
      <c r="C93" s="2" t="s">
        <v>26</v>
      </c>
      <c r="D93">
        <f>D92</f>
        <v>7.7405546006198378</v>
      </c>
      <c r="E93" s="11">
        <f>E92-C90</f>
        <v>5.5422517384170646</v>
      </c>
      <c r="F93">
        <f t="shared" ref="F93" si="24">F92</f>
        <v>6.9539810401854307</v>
      </c>
      <c r="G93">
        <f t="shared" si="23"/>
        <v>13.920270724275333</v>
      </c>
      <c r="H93">
        <f t="shared" si="23"/>
        <v>5.3083072896320029</v>
      </c>
      <c r="I93">
        <f t="shared" si="23"/>
        <v>1.1478698856681511</v>
      </c>
      <c r="J93">
        <f t="shared" si="23"/>
        <v>0.62524025314477694</v>
      </c>
      <c r="K93">
        <f t="shared" si="23"/>
        <v>3.2904361017787846</v>
      </c>
    </row>
    <row r="94" spans="1:18" x14ac:dyDescent="0.35">
      <c r="B94" s="2" t="s">
        <v>52</v>
      </c>
      <c r="D94">
        <f>D93+($J93*0)</f>
        <v>7.7405546006198378</v>
      </c>
      <c r="E94">
        <f t="shared" ref="E94:H94" si="25">E93+($J93*0)</f>
        <v>5.5422517384170646</v>
      </c>
      <c r="F94">
        <f t="shared" si="25"/>
        <v>6.9539810401854307</v>
      </c>
      <c r="G94">
        <f>G93+($J93*0.152)</f>
        <v>14.015307242753339</v>
      </c>
      <c r="H94">
        <f t="shared" si="25"/>
        <v>5.3083072896320029</v>
      </c>
      <c r="I94">
        <f>I93+($J93*0.3052)</f>
        <v>1.338693210927937</v>
      </c>
      <c r="J94" s="13"/>
      <c r="K94">
        <f>K93+($J93*0.2892)</f>
        <v>3.4712555829882543</v>
      </c>
    </row>
    <row r="95" spans="1:18" x14ac:dyDescent="0.35">
      <c r="B95" s="2" t="s">
        <v>50</v>
      </c>
      <c r="D95">
        <f>D94+($I94*0.2936)</f>
        <v>8.1335949273482804</v>
      </c>
      <c r="E95">
        <f t="shared" ref="E95:G95" si="26">E94+($I94*0)</f>
        <v>5.5422517384170646</v>
      </c>
      <c r="F95">
        <f>F94+($I94*0.058)</f>
        <v>7.0316252464192512</v>
      </c>
      <c r="G95">
        <f t="shared" si="26"/>
        <v>14.015307242753339</v>
      </c>
      <c r="H95">
        <f>H94+($I94*0.0726)</f>
        <v>5.405496416745371</v>
      </c>
      <c r="I95" s="13"/>
      <c r="J95" s="13"/>
      <c r="K95">
        <f>K94+($I94*0.1386)</f>
        <v>3.6567984620228664</v>
      </c>
    </row>
    <row r="96" spans="1:18" x14ac:dyDescent="0.35">
      <c r="B96" s="2" t="s">
        <v>51</v>
      </c>
      <c r="D96">
        <f>D95+($K95*0.4066)</f>
        <v>9.6204491820067783</v>
      </c>
      <c r="E96">
        <f>E95+($K95*0.0288)</f>
        <v>5.6475675341233229</v>
      </c>
      <c r="F96">
        <f>F95+($K95*0.0345)</f>
        <v>7.1577847933590402</v>
      </c>
      <c r="G96">
        <f t="shared" ref="G96:H96" si="27">G95+($K95*0)</f>
        <v>14.015307242753339</v>
      </c>
      <c r="H96">
        <f t="shared" si="27"/>
        <v>5.405496416745371</v>
      </c>
      <c r="I96" s="13"/>
      <c r="J96" s="13"/>
      <c r="K96" s="13"/>
    </row>
    <row r="97" spans="1:18" x14ac:dyDescent="0.35">
      <c r="B97" s="2" t="s">
        <v>60</v>
      </c>
      <c r="D97">
        <f>D96+($H96*0)</f>
        <v>9.6204491820067783</v>
      </c>
      <c r="E97">
        <f>E96+($H96*0.2754)</f>
        <v>7.1362412472949979</v>
      </c>
      <c r="F97">
        <f>F96+($H96*0.0436)</f>
        <v>7.393464437129138</v>
      </c>
      <c r="G97">
        <f>G96+($H96*0.4247)</f>
        <v>16.311021570945098</v>
      </c>
      <c r="H97" s="13"/>
      <c r="I97" s="13"/>
      <c r="J97" s="13"/>
      <c r="K97" s="13"/>
    </row>
    <row r="98" spans="1:18" x14ac:dyDescent="0.35">
      <c r="B98" s="2" t="s">
        <v>73</v>
      </c>
      <c r="D98">
        <f>D97+($E97*0.0351)</f>
        <v>9.8709312497868336</v>
      </c>
      <c r="E98" s="13"/>
      <c r="F98">
        <f>F97+($E97*0.1403)</f>
        <v>8.3946790841246255</v>
      </c>
      <c r="G98">
        <f>G97+($E97*0.3897)</f>
        <v>19.092014785015959</v>
      </c>
      <c r="H98" s="13"/>
      <c r="I98" s="13"/>
      <c r="J98" s="13"/>
      <c r="K98" s="13"/>
    </row>
    <row r="99" spans="1:18" x14ac:dyDescent="0.35">
      <c r="C99" s="2" t="s">
        <v>49</v>
      </c>
      <c r="D99">
        <f>D98</f>
        <v>9.8709312497868336</v>
      </c>
      <c r="E99" s="13"/>
      <c r="F99">
        <f>F98</f>
        <v>8.3946790841246255</v>
      </c>
      <c r="G99" s="11">
        <f>G98-C90</f>
        <v>2.4253481183492909</v>
      </c>
      <c r="H99" s="13"/>
      <c r="I99" s="13"/>
      <c r="J99" s="13"/>
      <c r="K99" s="13"/>
    </row>
    <row r="100" spans="1:18" x14ac:dyDescent="0.35">
      <c r="B100" s="2" t="s">
        <v>76</v>
      </c>
      <c r="D100">
        <f>D99+($G99*0)</f>
        <v>9.8709312497868336</v>
      </c>
      <c r="E100" s="13"/>
      <c r="F100">
        <f>F99+($G99*0.0129)</f>
        <v>8.4259660748513312</v>
      </c>
      <c r="G100" s="13"/>
      <c r="H100" s="13"/>
      <c r="I100" s="13"/>
      <c r="J100" s="13"/>
      <c r="K100" s="13"/>
    </row>
    <row r="101" spans="1:18" x14ac:dyDescent="0.35">
      <c r="B101" s="2" t="s">
        <v>54</v>
      </c>
      <c r="C101" s="2" t="s">
        <v>56</v>
      </c>
      <c r="D101" s="11">
        <f>D100+(F100*0.0411)</f>
        <v>10.217238455463223</v>
      </c>
      <c r="E101" s="13"/>
      <c r="F101" s="13"/>
      <c r="G101" s="13"/>
      <c r="H101" s="13"/>
      <c r="I101" s="13"/>
      <c r="J101" s="13"/>
      <c r="K101" s="13"/>
    </row>
    <row r="103" spans="1:18" x14ac:dyDescent="0.35">
      <c r="A103" t="s">
        <v>12</v>
      </c>
      <c r="B103">
        <v>4</v>
      </c>
      <c r="C103">
        <v>20</v>
      </c>
      <c r="D103" s="6">
        <v>0.19627038433376434</v>
      </c>
      <c r="E103" s="6">
        <v>0.24416993098505971</v>
      </c>
      <c r="F103" s="6">
        <v>5.1445568555359956E-2</v>
      </c>
      <c r="G103" s="6">
        <v>0.39267402358659581</v>
      </c>
      <c r="H103" s="6">
        <v>3.7186767203103335E-2</v>
      </c>
      <c r="I103" s="6">
        <v>1.7194701584383618E-2</v>
      </c>
      <c r="J103" s="6">
        <v>8.0624172365981704E-3</v>
      </c>
      <c r="K103" s="6">
        <v>2.9437342846905232E-2</v>
      </c>
      <c r="L103" s="9">
        <v>4.4400130863543599E-3</v>
      </c>
      <c r="M103" s="9">
        <v>3.8635903347925657E-3</v>
      </c>
      <c r="N103" s="9">
        <v>2.9132717443798783E-3</v>
      </c>
      <c r="O103" s="9">
        <v>5.7798065089033944E-3</v>
      </c>
      <c r="P103" s="9">
        <v>1.0437925501254109E-3</v>
      </c>
      <c r="Q103" s="9">
        <v>0</v>
      </c>
      <c r="R103" s="9">
        <v>5.4526476499088625E-3</v>
      </c>
    </row>
    <row r="104" spans="1:18" x14ac:dyDescent="0.35">
      <c r="A104" s="2" t="s">
        <v>77</v>
      </c>
      <c r="B104" s="14" t="s">
        <v>57</v>
      </c>
      <c r="C104" s="2" t="s">
        <v>49</v>
      </c>
      <c r="D104">
        <f>D103*100</f>
        <v>19.627038433376434</v>
      </c>
      <c r="E104">
        <f t="shared" ref="E104:K104" si="28">E103*100</f>
        <v>24.416993098505969</v>
      </c>
      <c r="F104">
        <f t="shared" si="28"/>
        <v>5.1445568555359955</v>
      </c>
      <c r="G104" s="11">
        <f>(G103*100)-C103</f>
        <v>19.267402358659581</v>
      </c>
      <c r="H104">
        <f t="shared" si="28"/>
        <v>3.7186767203103335</v>
      </c>
      <c r="I104">
        <f t="shared" si="28"/>
        <v>1.7194701584383618</v>
      </c>
      <c r="J104">
        <f t="shared" si="28"/>
        <v>0.80624172365981706</v>
      </c>
      <c r="K104">
        <f t="shared" si="28"/>
        <v>2.9437342846905232</v>
      </c>
    </row>
    <row r="105" spans="1:18" x14ac:dyDescent="0.35">
      <c r="C105" s="2" t="s">
        <v>26</v>
      </c>
      <c r="D105">
        <f>D104</f>
        <v>19.627038433376434</v>
      </c>
      <c r="E105" s="11">
        <f>E104-C103</f>
        <v>4.4169930985059693</v>
      </c>
      <c r="F105">
        <f t="shared" ref="F105:K105" si="29">F104</f>
        <v>5.1445568555359955</v>
      </c>
      <c r="G105">
        <f t="shared" si="29"/>
        <v>19.267402358659581</v>
      </c>
      <c r="H105">
        <f t="shared" si="29"/>
        <v>3.7186767203103335</v>
      </c>
      <c r="I105">
        <f t="shared" si="29"/>
        <v>1.7194701584383618</v>
      </c>
      <c r="J105">
        <f t="shared" si="29"/>
        <v>0.80624172365981706</v>
      </c>
      <c r="K105">
        <f t="shared" si="29"/>
        <v>2.9437342846905232</v>
      </c>
    </row>
    <row r="106" spans="1:18" x14ac:dyDescent="0.35">
      <c r="B106" s="2" t="s">
        <v>52</v>
      </c>
      <c r="D106">
        <f>D105+($J105*0)</f>
        <v>19.627038433376434</v>
      </c>
      <c r="E106">
        <f t="shared" ref="E106:H106" si="30">E105+($J105*0)</f>
        <v>4.4169930985059693</v>
      </c>
      <c r="F106">
        <f t="shared" si="30"/>
        <v>5.1445568555359955</v>
      </c>
      <c r="G106">
        <f>G105+($J105*0.152)</f>
        <v>19.389951100655875</v>
      </c>
      <c r="H106">
        <f t="shared" si="30"/>
        <v>3.7186767203103335</v>
      </c>
      <c r="I106">
        <f>I105+($J105*0.3052)</f>
        <v>1.965535132499338</v>
      </c>
      <c r="J106" s="13"/>
      <c r="K106">
        <f>K105+($J105*0.2892)</f>
        <v>3.1768993911729422</v>
      </c>
    </row>
    <row r="107" spans="1:18" x14ac:dyDescent="0.35">
      <c r="B107" s="2" t="s">
        <v>50</v>
      </c>
      <c r="D107">
        <f>D106+($I106*0.2936)</f>
        <v>20.204119548278239</v>
      </c>
      <c r="E107">
        <f>E106+($I106*0)</f>
        <v>4.4169930985059693</v>
      </c>
      <c r="F107">
        <f>F106+($I106*0.058)</f>
        <v>5.2585578932209573</v>
      </c>
      <c r="G107">
        <f t="shared" ref="G107" si="31">G106+($I106*0)</f>
        <v>19.389951100655875</v>
      </c>
      <c r="H107">
        <f>H106+($I106*0.0726)</f>
        <v>3.8613745709297853</v>
      </c>
      <c r="I107" s="13"/>
      <c r="J107" s="13"/>
      <c r="K107">
        <f>K106+($I106*0.1386)</f>
        <v>3.4493225605373503</v>
      </c>
    </row>
    <row r="108" spans="1:18" x14ac:dyDescent="0.35">
      <c r="C108" s="2" t="s">
        <v>56</v>
      </c>
      <c r="D108" s="11">
        <f>D107-C103</f>
        <v>0.20411954827823919</v>
      </c>
      <c r="E108">
        <f>E107</f>
        <v>4.4169930985059693</v>
      </c>
      <c r="F108">
        <f t="shared" ref="F108:K108" si="32">F107</f>
        <v>5.2585578932209573</v>
      </c>
      <c r="G108">
        <f t="shared" si="32"/>
        <v>19.389951100655875</v>
      </c>
      <c r="H108">
        <f t="shared" si="32"/>
        <v>3.8613745709297853</v>
      </c>
      <c r="I108" s="13"/>
      <c r="J108" s="13"/>
      <c r="K108">
        <f t="shared" si="32"/>
        <v>3.4493225605373503</v>
      </c>
    </row>
    <row r="109" spans="1:18" x14ac:dyDescent="0.35">
      <c r="B109" s="2" t="s">
        <v>61</v>
      </c>
      <c r="D109" s="13"/>
      <c r="E109">
        <f>E108+($D108*0.1035)</f>
        <v>4.438119471752767</v>
      </c>
      <c r="F109">
        <f>F108+($D108*0.1277)</f>
        <v>5.2846239595360887</v>
      </c>
      <c r="G109">
        <f>G108+($D108*0.1497)</f>
        <v>19.420507797033128</v>
      </c>
      <c r="H109">
        <f>H108+($D108*0.0478)</f>
        <v>3.871131485337485</v>
      </c>
      <c r="I109" s="13"/>
      <c r="J109" s="13"/>
      <c r="K109">
        <f>K108+($D108*0.0532)</f>
        <v>3.4601817205057528</v>
      </c>
    </row>
    <row r="110" spans="1:18" x14ac:dyDescent="0.35">
      <c r="B110" s="2" t="s">
        <v>51</v>
      </c>
      <c r="D110" s="13"/>
      <c r="E110">
        <f>E109+($K109*0.0288)</f>
        <v>4.5377727053033325</v>
      </c>
      <c r="F110">
        <f>F109+($K109*0.0345)</f>
        <v>5.4040002288935369</v>
      </c>
      <c r="G110">
        <f t="shared" ref="G110" si="33">G109+($K109*0)</f>
        <v>19.420507797033128</v>
      </c>
      <c r="H110">
        <f>H109+($K109*0)</f>
        <v>3.871131485337485</v>
      </c>
      <c r="I110" s="13"/>
      <c r="J110" s="13"/>
      <c r="K110" s="13"/>
    </row>
    <row r="111" spans="1:18" x14ac:dyDescent="0.35">
      <c r="B111" s="2" t="s">
        <v>60</v>
      </c>
      <c r="D111" s="13"/>
      <c r="E111">
        <f>E110+($H110*0.2754)</f>
        <v>5.6038823163652758</v>
      </c>
      <c r="F111">
        <f>F110+($H110*0.0436)</f>
        <v>5.5727815616542511</v>
      </c>
      <c r="G111">
        <f>G110+($H110*0.4247)</f>
        <v>21.064577338855958</v>
      </c>
      <c r="H111" s="13"/>
      <c r="I111" s="13"/>
      <c r="J111" s="13"/>
      <c r="K111" s="13"/>
    </row>
    <row r="112" spans="1:18" x14ac:dyDescent="0.35">
      <c r="C112" s="2" t="s">
        <v>49</v>
      </c>
      <c r="D112" s="13"/>
      <c r="E112">
        <f>E111</f>
        <v>5.6038823163652758</v>
      </c>
      <c r="F112">
        <f t="shared" ref="F112" si="34">F111</f>
        <v>5.5727815616542511</v>
      </c>
      <c r="G112" s="11">
        <f>G111-C103</f>
        <v>1.0645773388559583</v>
      </c>
      <c r="H112" s="13"/>
      <c r="I112" s="13"/>
      <c r="J112" s="13"/>
      <c r="K112" s="13"/>
    </row>
    <row r="114" spans="1:18" x14ac:dyDescent="0.35">
      <c r="A114" t="s">
        <v>13</v>
      </c>
      <c r="B114">
        <v>4</v>
      </c>
      <c r="C114">
        <f>100/(B114+1)</f>
        <v>20</v>
      </c>
      <c r="D114" s="6">
        <v>0.32157455360679377</v>
      </c>
      <c r="E114" s="6">
        <v>0.35163889443414603</v>
      </c>
      <c r="F114" s="6">
        <v>2.6664128523218783E-2</v>
      </c>
      <c r="G114" s="6">
        <v>0.17719992236639892</v>
      </c>
      <c r="H114" s="6">
        <v>2.5794988671831678E-2</v>
      </c>
      <c r="I114" s="6">
        <v>1.9113108988069772E-2</v>
      </c>
      <c r="J114" s="6">
        <v>1.1137157976456421E-2</v>
      </c>
      <c r="K114" s="6">
        <v>4.6863114533326991E-2</v>
      </c>
      <c r="L114" s="9">
        <v>3.8975236465611483E-3</v>
      </c>
      <c r="M114" s="9">
        <v>2.5666619135890491E-3</v>
      </c>
      <c r="N114" s="9">
        <v>2.3923824009379406E-3</v>
      </c>
      <c r="O114" s="9">
        <v>4.1827083036265981E-3</v>
      </c>
      <c r="P114" s="9">
        <v>9.1892833943311623E-4</v>
      </c>
      <c r="Q114" s="9">
        <v>0</v>
      </c>
      <c r="R114" s="9">
        <v>6.0047213904336387E-3</v>
      </c>
    </row>
    <row r="115" spans="1:18" x14ac:dyDescent="0.35">
      <c r="A115" s="2" t="s">
        <v>77</v>
      </c>
      <c r="B115" s="11" t="s">
        <v>59</v>
      </c>
      <c r="C115" s="2" t="s">
        <v>26</v>
      </c>
      <c r="D115">
        <f>D114*100</f>
        <v>32.157455360679378</v>
      </c>
      <c r="E115" s="11">
        <f>(E114*100)-C114</f>
        <v>15.163889443414604</v>
      </c>
      <c r="F115">
        <f t="shared" ref="F115:K115" si="35">F114*100</f>
        <v>2.6664128523218782</v>
      </c>
      <c r="G115">
        <f t="shared" si="35"/>
        <v>17.719992236639893</v>
      </c>
      <c r="H115">
        <f t="shared" si="35"/>
        <v>2.579498867183168</v>
      </c>
      <c r="I115">
        <f t="shared" si="35"/>
        <v>1.9113108988069771</v>
      </c>
      <c r="J115">
        <f t="shared" si="35"/>
        <v>1.113715797645642</v>
      </c>
      <c r="K115">
        <f t="shared" si="35"/>
        <v>4.6863114533326993</v>
      </c>
    </row>
    <row r="116" spans="1:18" x14ac:dyDescent="0.35">
      <c r="C116" s="2" t="s">
        <v>56</v>
      </c>
      <c r="D116" s="11">
        <f>D115-C114</f>
        <v>12.157455360679378</v>
      </c>
      <c r="E116">
        <f t="shared" ref="E116:K116" si="36">E115</f>
        <v>15.163889443414604</v>
      </c>
      <c r="F116">
        <f t="shared" si="36"/>
        <v>2.6664128523218782</v>
      </c>
      <c r="G116">
        <f t="shared" si="36"/>
        <v>17.719992236639893</v>
      </c>
      <c r="H116">
        <f t="shared" si="36"/>
        <v>2.579498867183168</v>
      </c>
      <c r="I116">
        <f t="shared" si="36"/>
        <v>1.9113108988069771</v>
      </c>
      <c r="J116">
        <f t="shared" si="36"/>
        <v>1.113715797645642</v>
      </c>
      <c r="K116">
        <f t="shared" si="36"/>
        <v>4.6863114533326993</v>
      </c>
    </row>
    <row r="117" spans="1:18" x14ac:dyDescent="0.35">
      <c r="B117" t="s">
        <v>52</v>
      </c>
      <c r="C117" s="2"/>
      <c r="D117">
        <f>D116+(J116*0)</f>
        <v>12.157455360679378</v>
      </c>
      <c r="E117">
        <f>E116+(J116*0)</f>
        <v>15.163889443414604</v>
      </c>
      <c r="F117">
        <f>F116+(J116*0)</f>
        <v>2.6664128523218782</v>
      </c>
      <c r="G117">
        <f>G116+(J116*0.152)</f>
        <v>17.889277037882032</v>
      </c>
      <c r="H117">
        <f>H116+(J116*0)</f>
        <v>2.579498867183168</v>
      </c>
      <c r="I117">
        <f>I116+(J116*0.3052)</f>
        <v>2.2512169602484269</v>
      </c>
      <c r="J117" s="13"/>
      <c r="K117">
        <f>K116+(J116*0.2892)</f>
        <v>5.0083980620118194</v>
      </c>
    </row>
    <row r="118" spans="1:18" x14ac:dyDescent="0.35">
      <c r="B118" t="s">
        <v>50</v>
      </c>
      <c r="C118" s="2"/>
      <c r="D118">
        <f>D117+($I117*0.2936)</f>
        <v>12.818412660208317</v>
      </c>
      <c r="E118">
        <f>E117+($I117*0)</f>
        <v>15.163889443414604</v>
      </c>
      <c r="F118">
        <f>F117+($I117*0.058)</f>
        <v>2.7969834360162871</v>
      </c>
      <c r="G118">
        <f>G117+($I117*0)</f>
        <v>17.889277037882032</v>
      </c>
      <c r="H118">
        <f>H117+($I117*0.0726)</f>
        <v>2.7429372184972038</v>
      </c>
      <c r="I118" s="13"/>
      <c r="J118" s="13"/>
      <c r="K118">
        <f>K117+($I117*0.1386)</f>
        <v>5.3204167327022516</v>
      </c>
    </row>
    <row r="119" spans="1:18" x14ac:dyDescent="0.35">
      <c r="B119" t="s">
        <v>53</v>
      </c>
      <c r="D119">
        <f>D118+($H118*0)</f>
        <v>12.818412660208317</v>
      </c>
      <c r="E119">
        <f>E118+($H118*0.2754)</f>
        <v>15.919294353388734</v>
      </c>
      <c r="F119">
        <f>F118+($H118*0.0436)</f>
        <v>2.9165754987427652</v>
      </c>
      <c r="G119">
        <f>G118+($H118*0.4247)</f>
        <v>19.054202474577792</v>
      </c>
      <c r="H119" s="13"/>
      <c r="I119" s="13"/>
      <c r="J119" s="13"/>
      <c r="K119">
        <f t="shared" ref="K119" si="37">K118+($H118*0)</f>
        <v>5.3204167327022516</v>
      </c>
    </row>
    <row r="120" spans="1:18" x14ac:dyDescent="0.35">
      <c r="B120" t="s">
        <v>54</v>
      </c>
      <c r="D120">
        <f>D119+($F119*0.0411)</f>
        <v>12.938283913206645</v>
      </c>
      <c r="E120">
        <f>E119+($F119*0.3462)</f>
        <v>16.929012791053481</v>
      </c>
      <c r="F120" s="13"/>
      <c r="G120">
        <f>G119+($F119*0.1365)</f>
        <v>19.452315030156178</v>
      </c>
      <c r="H120" s="13"/>
      <c r="I120" s="13"/>
      <c r="J120" s="13"/>
      <c r="K120">
        <f>K119+($F119*0.0113)</f>
        <v>5.3533740358380451</v>
      </c>
    </row>
    <row r="121" spans="1:18" x14ac:dyDescent="0.35">
      <c r="B121" t="s">
        <v>51</v>
      </c>
      <c r="D121">
        <f>D120+($K120*0.4066)</f>
        <v>15.114965796178394</v>
      </c>
      <c r="E121">
        <f>E120+($K120*0.0288)</f>
        <v>17.083189963285616</v>
      </c>
      <c r="F121" s="13"/>
      <c r="G121">
        <f>G120+($K120*0)</f>
        <v>19.452315030156178</v>
      </c>
      <c r="H121" s="13"/>
      <c r="I121" s="13"/>
      <c r="J121" s="13"/>
      <c r="K121" s="13"/>
    </row>
    <row r="122" spans="1:18" x14ac:dyDescent="0.35">
      <c r="B122" s="2"/>
      <c r="C122" t="s">
        <v>49</v>
      </c>
      <c r="D122">
        <f>D121</f>
        <v>15.114965796178394</v>
      </c>
      <c r="E122">
        <f t="shared" ref="E122" si="38">E121</f>
        <v>17.083189963285616</v>
      </c>
      <c r="F122" s="13"/>
      <c r="G122" s="11">
        <f>G121-C114</f>
        <v>-0.54768496984382153</v>
      </c>
      <c r="H122" s="13"/>
      <c r="I122" s="13"/>
      <c r="J122" s="13"/>
      <c r="K122" s="13"/>
    </row>
    <row r="123" spans="1:18" x14ac:dyDescent="0.35">
      <c r="B123" s="2"/>
      <c r="C123" t="s">
        <v>26</v>
      </c>
      <c r="D123">
        <f>D122</f>
        <v>15.114965796178394</v>
      </c>
      <c r="E123" s="11">
        <f>E122-C114</f>
        <v>-2.9168100367143843</v>
      </c>
      <c r="F123" s="13"/>
      <c r="G123">
        <f>G122</f>
        <v>-0.54768496984382153</v>
      </c>
      <c r="H123" s="13"/>
      <c r="I123" s="13"/>
      <c r="J123" s="13"/>
      <c r="K123" s="13"/>
    </row>
    <row r="124" spans="1:18" x14ac:dyDescent="0.35">
      <c r="B124" s="2"/>
    </row>
    <row r="125" spans="1:18" x14ac:dyDescent="0.35">
      <c r="B125" s="2"/>
    </row>
    <row r="126" spans="1:18" x14ac:dyDescent="0.35">
      <c r="C126" s="2"/>
    </row>
    <row r="128" spans="1:18" x14ac:dyDescent="0.35">
      <c r="A128" t="s">
        <v>14</v>
      </c>
      <c r="B128">
        <v>4</v>
      </c>
      <c r="C128">
        <v>20</v>
      </c>
      <c r="D128" s="6">
        <v>0.35074190233563823</v>
      </c>
      <c r="E128" s="6">
        <v>0.30452965254436859</v>
      </c>
      <c r="F128" s="6">
        <v>5.7995427201301623E-2</v>
      </c>
      <c r="G128" s="6">
        <v>0.18127196163644538</v>
      </c>
      <c r="H128" s="6">
        <v>2.9867626469140034E-2</v>
      </c>
      <c r="I128" s="6">
        <v>1.6374256599088009E-2</v>
      </c>
      <c r="J128" s="6">
        <v>1.3474220205090877E-2</v>
      </c>
      <c r="K128" s="6">
        <v>2.9601250240842626E-2</v>
      </c>
      <c r="L128" s="9">
        <v>4.1746055532957977E-3</v>
      </c>
      <c r="M128" s="9">
        <v>2.4191303975508983E-3</v>
      </c>
      <c r="N128" s="9">
        <v>2.1836398278778017E-3</v>
      </c>
      <c r="O128" s="9">
        <v>5.0309348975616022E-3</v>
      </c>
      <c r="P128" s="9">
        <v>7.7069640983922416E-4</v>
      </c>
      <c r="Q128" s="9">
        <v>1.5628010532850935E-3</v>
      </c>
      <c r="R128" s="9">
        <v>0</v>
      </c>
    </row>
    <row r="129" spans="1:18" x14ac:dyDescent="0.35">
      <c r="A129" s="2" t="s">
        <v>78</v>
      </c>
      <c r="B129" s="14" t="s">
        <v>57</v>
      </c>
      <c r="C129" s="2" t="s">
        <v>56</v>
      </c>
      <c r="D129" s="11">
        <f>(D128*100)-C128</f>
        <v>15.074190233563826</v>
      </c>
      <c r="E129">
        <f t="shared" ref="E129:K129" si="39">E128*100</f>
        <v>30.452965254436858</v>
      </c>
      <c r="F129">
        <f t="shared" si="39"/>
        <v>5.7995427201301624</v>
      </c>
      <c r="G129">
        <f t="shared" si="39"/>
        <v>18.127196163644538</v>
      </c>
      <c r="H129">
        <f t="shared" si="39"/>
        <v>2.9867626469140034</v>
      </c>
      <c r="I129">
        <f t="shared" si="39"/>
        <v>1.6374256599088008</v>
      </c>
      <c r="J129">
        <f t="shared" si="39"/>
        <v>1.3474220205090877</v>
      </c>
      <c r="K129">
        <f t="shared" si="39"/>
        <v>2.9601250240842627</v>
      </c>
    </row>
    <row r="130" spans="1:18" x14ac:dyDescent="0.35">
      <c r="C130" s="2" t="s">
        <v>26</v>
      </c>
      <c r="D130">
        <f>D129</f>
        <v>15.074190233563826</v>
      </c>
      <c r="E130" s="11">
        <f>E129-C128</f>
        <v>10.452965254436858</v>
      </c>
      <c r="F130">
        <f t="shared" ref="F130:K130" si="40">F129</f>
        <v>5.7995427201301624</v>
      </c>
      <c r="G130">
        <f t="shared" si="40"/>
        <v>18.127196163644538</v>
      </c>
      <c r="H130">
        <f t="shared" si="40"/>
        <v>2.9867626469140034</v>
      </c>
      <c r="I130">
        <f t="shared" si="40"/>
        <v>1.6374256599088008</v>
      </c>
      <c r="J130">
        <f t="shared" si="40"/>
        <v>1.3474220205090877</v>
      </c>
      <c r="K130">
        <f t="shared" si="40"/>
        <v>2.9601250240842627</v>
      </c>
    </row>
    <row r="131" spans="1:18" x14ac:dyDescent="0.35">
      <c r="B131" s="2" t="s">
        <v>71</v>
      </c>
      <c r="D131">
        <f>D130+($J130*0)</f>
        <v>15.074190233563826</v>
      </c>
      <c r="E131">
        <f t="shared" ref="E131:H131" si="41">E130+($J130*0)</f>
        <v>10.452965254436858</v>
      </c>
      <c r="F131">
        <f t="shared" si="41"/>
        <v>5.7995427201301624</v>
      </c>
      <c r="G131">
        <f>G130+($J130*0.152)</f>
        <v>18.332004310761921</v>
      </c>
      <c r="H131">
        <f t="shared" si="41"/>
        <v>2.9867626469140034</v>
      </c>
      <c r="I131">
        <f>I130+($J130*0.3052)</f>
        <v>2.0486588605681746</v>
      </c>
      <c r="J131" s="13"/>
      <c r="K131">
        <f>K130+($J130*0.2892)</f>
        <v>3.3497994724154907</v>
      </c>
    </row>
    <row r="132" spans="1:18" x14ac:dyDescent="0.35">
      <c r="B132" s="2" t="s">
        <v>79</v>
      </c>
      <c r="D132">
        <f>D131+($I131*0.2936)</f>
        <v>15.675676475026641</v>
      </c>
      <c r="E132">
        <f t="shared" ref="E132:G132" si="42">E131+($I131*0)</f>
        <v>10.452965254436858</v>
      </c>
      <c r="F132">
        <f>F131+($I131*0.058)</f>
        <v>5.9183649340431161</v>
      </c>
      <c r="G132">
        <f t="shared" si="42"/>
        <v>18.332004310761921</v>
      </c>
      <c r="H132">
        <f>H131+($I131*0.0726)</f>
        <v>3.135495280191253</v>
      </c>
      <c r="I132" s="13"/>
      <c r="J132" s="13"/>
      <c r="K132">
        <f>K131+($I131*0.1386)</f>
        <v>3.6337435904902398</v>
      </c>
    </row>
    <row r="133" spans="1:18" x14ac:dyDescent="0.35">
      <c r="B133" s="2" t="s">
        <v>60</v>
      </c>
      <c r="D133">
        <f>D132+($H132*0)</f>
        <v>15.675676475026641</v>
      </c>
      <c r="E133">
        <f>E132+($H132*0.2754)</f>
        <v>11.316480654601529</v>
      </c>
      <c r="F133">
        <f>F132+($H132*0.0436)</f>
        <v>6.0550725282594549</v>
      </c>
      <c r="G133">
        <f>G132+($H132*0.4247)</f>
        <v>19.663649156259147</v>
      </c>
      <c r="H133" s="13"/>
      <c r="I133" s="13"/>
      <c r="J133" s="13"/>
      <c r="K133">
        <f t="shared" ref="K133" si="43">K132+($H132*0)</f>
        <v>3.6337435904902398</v>
      </c>
    </row>
    <row r="134" spans="1:18" x14ac:dyDescent="0.35">
      <c r="B134" s="2" t="s">
        <v>51</v>
      </c>
      <c r="D134">
        <f>D133+($K133*0.4066)</f>
        <v>17.153156618919972</v>
      </c>
      <c r="E134">
        <f>E133+($K133*0.0288)</f>
        <v>11.421132470007647</v>
      </c>
      <c r="F134">
        <f>F133+($K133*0.0345)</f>
        <v>6.1804366821313685</v>
      </c>
      <c r="G134">
        <f t="shared" ref="G134" si="44">G133+($K133*0)</f>
        <v>19.663649156259147</v>
      </c>
      <c r="H134" s="13"/>
      <c r="I134" s="13"/>
      <c r="J134" s="13"/>
      <c r="K134" s="13"/>
    </row>
    <row r="135" spans="1:18" x14ac:dyDescent="0.35">
      <c r="B135" s="2" t="s">
        <v>54</v>
      </c>
      <c r="D135">
        <f>D134+($F134*0.0411)</f>
        <v>17.407172566555573</v>
      </c>
      <c r="E135">
        <f>E134+($F134*0.3462)</f>
        <v>13.560799649361527</v>
      </c>
      <c r="F135" s="13"/>
      <c r="G135">
        <f>G134+($F134*0.1365)</f>
        <v>20.507278763370078</v>
      </c>
      <c r="H135" s="13"/>
      <c r="I135" s="13"/>
      <c r="J135" s="13"/>
      <c r="K135" s="13"/>
    </row>
    <row r="136" spans="1:18" x14ac:dyDescent="0.35">
      <c r="C136" s="2" t="s">
        <v>49</v>
      </c>
      <c r="D136">
        <f>D135</f>
        <v>17.407172566555573</v>
      </c>
      <c r="E136">
        <f t="shared" ref="E136" si="45">E135</f>
        <v>13.560799649361527</v>
      </c>
      <c r="F136" s="13"/>
      <c r="G136" s="11">
        <f>G135-C128</f>
        <v>0.50727876337007771</v>
      </c>
      <c r="H136" s="13"/>
      <c r="I136" s="13"/>
      <c r="J136" s="13"/>
      <c r="K136" s="13"/>
    </row>
    <row r="137" spans="1:18" x14ac:dyDescent="0.35">
      <c r="B137" s="2" t="s">
        <v>80</v>
      </c>
      <c r="D137">
        <f>D136+($G136*0.1061)</f>
        <v>17.460994843349138</v>
      </c>
      <c r="E137">
        <f>E136+($G136*0.5659)</f>
        <v>13.847868701552654</v>
      </c>
      <c r="F137" s="13"/>
      <c r="G137" s="13"/>
      <c r="H137" s="13"/>
      <c r="I137" s="13"/>
      <c r="J137" s="13"/>
      <c r="K137" s="13"/>
    </row>
    <row r="138" spans="1:18" x14ac:dyDescent="0.35">
      <c r="B138" s="2" t="s">
        <v>81</v>
      </c>
      <c r="C138" s="2" t="s">
        <v>56</v>
      </c>
      <c r="D138" s="11">
        <f>D137+(E137*0.1311)</f>
        <v>19.27645043012269</v>
      </c>
      <c r="E138" s="13"/>
      <c r="F138" s="13"/>
      <c r="G138" s="13"/>
      <c r="H138" s="13"/>
      <c r="I138" s="13"/>
      <c r="J138" s="13"/>
      <c r="K138" s="13"/>
    </row>
    <row r="140" spans="1:18" x14ac:dyDescent="0.35">
      <c r="A140" t="s">
        <v>15</v>
      </c>
      <c r="B140">
        <v>4</v>
      </c>
      <c r="C140">
        <v>20</v>
      </c>
      <c r="D140" s="6">
        <v>0.40357071891334756</v>
      </c>
      <c r="E140" s="6">
        <v>0.28450765294853853</v>
      </c>
      <c r="F140" s="6">
        <v>5.4166020025031285E-2</v>
      </c>
      <c r="G140" s="6">
        <v>0.16015595045277184</v>
      </c>
      <c r="H140" s="6">
        <v>2.8715322461900904E-2</v>
      </c>
      <c r="I140" s="6">
        <v>1.7491999190164177E-2</v>
      </c>
      <c r="J140" s="6">
        <v>1.164544467348892E-2</v>
      </c>
      <c r="K140" s="6">
        <v>2.3457262754914228E-2</v>
      </c>
      <c r="L140" s="9">
        <v>4.8222042258705732E-3</v>
      </c>
      <c r="M140" s="9">
        <v>1.4172126923360083E-3</v>
      </c>
      <c r="N140" s="9">
        <v>2.2086431568872854E-3</v>
      </c>
      <c r="O140" s="9">
        <v>5.0246631819185743E-3</v>
      </c>
      <c r="P140" s="9">
        <v>6.8099830670691306E-4</v>
      </c>
      <c r="Q140" s="9">
        <v>2.1350217183243761E-3</v>
      </c>
      <c r="R140" s="9">
        <v>0</v>
      </c>
    </row>
    <row r="141" spans="1:18" x14ac:dyDescent="0.35">
      <c r="A141" s="2" t="s">
        <v>78</v>
      </c>
      <c r="B141" s="14" t="s">
        <v>57</v>
      </c>
      <c r="C141" s="2" t="s">
        <v>56</v>
      </c>
      <c r="D141" s="11">
        <f>(D140*100)-C140</f>
        <v>20.357071891334755</v>
      </c>
      <c r="E141">
        <f t="shared" ref="E141:K141" si="46">E140*100</f>
        <v>28.450765294853852</v>
      </c>
      <c r="F141">
        <f t="shared" si="46"/>
        <v>5.4166020025031285</v>
      </c>
      <c r="G141">
        <f t="shared" si="46"/>
        <v>16.015595045277184</v>
      </c>
      <c r="H141">
        <f t="shared" si="46"/>
        <v>2.8715322461900903</v>
      </c>
      <c r="I141">
        <f t="shared" si="46"/>
        <v>1.7491999190164178</v>
      </c>
      <c r="J141">
        <f t="shared" si="46"/>
        <v>1.1645444673488921</v>
      </c>
      <c r="K141">
        <f t="shared" si="46"/>
        <v>2.345726275491423</v>
      </c>
    </row>
    <row r="142" spans="1:18" x14ac:dyDescent="0.35">
      <c r="C142" s="2" t="s">
        <v>26</v>
      </c>
      <c r="D142">
        <f>D141</f>
        <v>20.357071891334755</v>
      </c>
      <c r="E142" s="11">
        <f>E141-C140</f>
        <v>8.4507652948538521</v>
      </c>
      <c r="F142">
        <f t="shared" ref="F142:K143" si="47">F141</f>
        <v>5.4166020025031285</v>
      </c>
      <c r="G142">
        <f t="shared" si="47"/>
        <v>16.015595045277184</v>
      </c>
      <c r="H142">
        <f t="shared" si="47"/>
        <v>2.8715322461900903</v>
      </c>
      <c r="I142">
        <f t="shared" si="47"/>
        <v>1.7491999190164178</v>
      </c>
      <c r="J142">
        <f t="shared" si="47"/>
        <v>1.1645444673488921</v>
      </c>
      <c r="K142">
        <f t="shared" si="47"/>
        <v>2.345726275491423</v>
      </c>
    </row>
    <row r="143" spans="1:18" x14ac:dyDescent="0.35">
      <c r="C143" s="2" t="s">
        <v>56</v>
      </c>
      <c r="D143" s="11">
        <f>D142-C140</f>
        <v>0.35707189133475481</v>
      </c>
      <c r="E143">
        <f t="shared" ref="E143" si="48">E142</f>
        <v>8.4507652948538521</v>
      </c>
      <c r="F143">
        <f t="shared" si="47"/>
        <v>5.4166020025031285</v>
      </c>
      <c r="G143">
        <f t="shared" si="47"/>
        <v>16.015595045277184</v>
      </c>
      <c r="H143">
        <f t="shared" si="47"/>
        <v>2.8715322461900903</v>
      </c>
      <c r="I143">
        <f t="shared" si="47"/>
        <v>1.7491999190164178</v>
      </c>
      <c r="J143">
        <f t="shared" si="47"/>
        <v>1.1645444673488921</v>
      </c>
      <c r="K143">
        <f t="shared" si="47"/>
        <v>2.345726275491423</v>
      </c>
    </row>
    <row r="144" spans="1:18" x14ac:dyDescent="0.35">
      <c r="B144" s="2" t="s">
        <v>82</v>
      </c>
      <c r="D144" s="13"/>
      <c r="E144">
        <f>E143+($D143*0.2701)</f>
        <v>8.5472104127033699</v>
      </c>
      <c r="F144">
        <f>F143+($D143*0.0891)</f>
        <v>5.4484171080210553</v>
      </c>
      <c r="G144">
        <f>G143+($D143*0.1132)</f>
        <v>16.056015583376279</v>
      </c>
      <c r="H144">
        <f>H143+($D143*0.0912)</f>
        <v>2.9040972026798197</v>
      </c>
      <c r="I144">
        <f>I143+($D143*0.0837)</f>
        <v>1.7790868363211367</v>
      </c>
      <c r="J144">
        <f>J143+($D143*0.0419)</f>
        <v>1.1795057795958184</v>
      </c>
      <c r="K144">
        <f>K143+($D143*0.1863)</f>
        <v>2.4122487688470877</v>
      </c>
    </row>
    <row r="145" spans="1:18" x14ac:dyDescent="0.35">
      <c r="B145" s="2" t="s">
        <v>52</v>
      </c>
      <c r="D145" s="13"/>
      <c r="E145">
        <f>E144+($J144*0)</f>
        <v>8.5472104127033699</v>
      </c>
      <c r="F145">
        <f t="shared" ref="F145:H145" si="49">F144+($J144*0)</f>
        <v>5.4484171080210553</v>
      </c>
      <c r="G145">
        <f>G144+($J144*0.152)</f>
        <v>16.235300461874843</v>
      </c>
      <c r="H145">
        <f t="shared" si="49"/>
        <v>2.9040972026798197</v>
      </c>
      <c r="I145">
        <f>I144+($J144*0.3052)</f>
        <v>2.1390720002537806</v>
      </c>
      <c r="J145" s="13"/>
      <c r="K145">
        <f>K144+($J144*0.2892)</f>
        <v>2.7533618403061983</v>
      </c>
    </row>
    <row r="146" spans="1:18" x14ac:dyDescent="0.35">
      <c r="B146" s="2" t="s">
        <v>50</v>
      </c>
      <c r="D146" s="13"/>
      <c r="E146">
        <f>E145+($I145*0)</f>
        <v>8.5472104127033699</v>
      </c>
      <c r="F146">
        <f>F145+($I145*0.058)</f>
        <v>5.5724832840357745</v>
      </c>
      <c r="G146">
        <f t="shared" ref="G146" si="50">G145+($I145*0)</f>
        <v>16.235300461874843</v>
      </c>
      <c r="H146">
        <f>H145+($I145*0.0726)</f>
        <v>3.0593938298982444</v>
      </c>
      <c r="I146" s="13"/>
      <c r="J146" s="13"/>
      <c r="K146">
        <f>K145+($I145*0.1386)</f>
        <v>3.0498372195413723</v>
      </c>
    </row>
    <row r="147" spans="1:18" x14ac:dyDescent="0.35">
      <c r="B147" s="2" t="s">
        <v>51</v>
      </c>
      <c r="D147" s="13"/>
      <c r="E147">
        <f>E146+($K146*0.0288)</f>
        <v>8.6350457246261616</v>
      </c>
      <c r="F147">
        <f>F146+($K146*0.0345)</f>
        <v>5.6777026681099523</v>
      </c>
      <c r="G147">
        <f t="shared" ref="G147:H147" si="51">G146+($K146*0)</f>
        <v>16.235300461874843</v>
      </c>
      <c r="H147">
        <f t="shared" si="51"/>
        <v>3.0593938298982444</v>
      </c>
      <c r="I147" s="13"/>
      <c r="J147" s="13"/>
      <c r="K147" s="13"/>
    </row>
    <row r="148" spans="1:18" x14ac:dyDescent="0.35">
      <c r="B148" s="2" t="s">
        <v>60</v>
      </c>
      <c r="D148" s="13"/>
      <c r="E148">
        <f>E147+($H147*0.2754)</f>
        <v>9.4776027853801388</v>
      </c>
      <c r="F148">
        <f>F147+($H147*0.0436)</f>
        <v>5.811092239093516</v>
      </c>
      <c r="G148">
        <f>G147+($H147*0.4247)</f>
        <v>17.534625021432628</v>
      </c>
      <c r="H148" s="13"/>
      <c r="I148" s="13"/>
      <c r="J148" s="13"/>
      <c r="K148" s="13"/>
    </row>
    <row r="149" spans="1:18" x14ac:dyDescent="0.35">
      <c r="B149" s="2" t="s">
        <v>54</v>
      </c>
      <c r="D149" s="13"/>
      <c r="E149">
        <f>E148+($F148*0.3462)</f>
        <v>11.489402918554314</v>
      </c>
      <c r="F149" s="13"/>
      <c r="G149">
        <f>G148+($F148*0.1365)</f>
        <v>18.327839112068894</v>
      </c>
      <c r="H149" s="13"/>
      <c r="I149" s="13"/>
      <c r="J149" s="13"/>
      <c r="K149" s="13"/>
    </row>
    <row r="150" spans="1:18" x14ac:dyDescent="0.35">
      <c r="C150" s="2" t="s">
        <v>49</v>
      </c>
      <c r="D150" s="13"/>
      <c r="E150">
        <f>E149</f>
        <v>11.489402918554314</v>
      </c>
      <c r="F150" s="13"/>
      <c r="G150" s="11">
        <f>G149</f>
        <v>18.327839112068894</v>
      </c>
      <c r="H150" s="13"/>
      <c r="I150" s="13"/>
      <c r="J150" s="13"/>
      <c r="K150" s="13"/>
    </row>
    <row r="152" spans="1:18" x14ac:dyDescent="0.35">
      <c r="A152" t="s">
        <v>16</v>
      </c>
      <c r="B152">
        <v>4</v>
      </c>
      <c r="C152">
        <v>20</v>
      </c>
      <c r="D152" s="6">
        <v>0.19528452519540992</v>
      </c>
      <c r="E152" s="6">
        <v>0.44848210751704642</v>
      </c>
      <c r="F152" s="6">
        <v>5.225807833028439E-2</v>
      </c>
      <c r="G152" s="6">
        <v>0.16615793696989856</v>
      </c>
      <c r="H152" s="6">
        <v>3.9783504490271085E-2</v>
      </c>
      <c r="I152" s="6">
        <v>1.9585681024447035E-2</v>
      </c>
      <c r="J152" s="6">
        <v>9.2974180941293848E-3</v>
      </c>
      <c r="K152" s="6">
        <v>3.3915807417262599E-2</v>
      </c>
      <c r="L152" s="9">
        <v>7.3590553800099781E-3</v>
      </c>
      <c r="M152" s="9">
        <v>1.1766173291202395E-2</v>
      </c>
      <c r="N152" s="9">
        <v>2.8272077166140029E-3</v>
      </c>
      <c r="O152" s="9">
        <v>5.321802760685182E-3</v>
      </c>
      <c r="P152" s="9">
        <v>1.9956760352569432E-3</v>
      </c>
      <c r="Q152" s="9">
        <v>3.7626808581406952E-3</v>
      </c>
      <c r="R152" s="9">
        <v>2.2035589555962081E-3</v>
      </c>
    </row>
    <row r="153" spans="1:18" x14ac:dyDescent="0.35">
      <c r="A153" s="2" t="s">
        <v>69</v>
      </c>
      <c r="B153" s="14" t="s">
        <v>57</v>
      </c>
      <c r="C153" s="2" t="s">
        <v>26</v>
      </c>
      <c r="D153">
        <f>D152*100</f>
        <v>19.528452519540991</v>
      </c>
      <c r="E153" s="11">
        <f>(E152*100)-C152</f>
        <v>24.848210751704642</v>
      </c>
      <c r="F153">
        <f t="shared" ref="F153:K153" si="52">F152*100</f>
        <v>5.2258078330284388</v>
      </c>
      <c r="G153">
        <f t="shared" si="52"/>
        <v>16.615793696989854</v>
      </c>
      <c r="H153">
        <f t="shared" si="52"/>
        <v>3.9783504490271087</v>
      </c>
      <c r="I153">
        <f t="shared" si="52"/>
        <v>1.9585681024447035</v>
      </c>
      <c r="J153">
        <f t="shared" si="52"/>
        <v>0.92974180941293849</v>
      </c>
      <c r="K153">
        <f t="shared" si="52"/>
        <v>3.3915807417262598</v>
      </c>
    </row>
    <row r="154" spans="1:18" x14ac:dyDescent="0.35">
      <c r="C154" s="2" t="s">
        <v>26</v>
      </c>
      <c r="D154">
        <f>D153</f>
        <v>19.528452519540991</v>
      </c>
      <c r="E154">
        <f>E153-C152</f>
        <v>4.8482107517046416</v>
      </c>
      <c r="F154">
        <f t="shared" ref="F154:K154" si="53">F153</f>
        <v>5.2258078330284388</v>
      </c>
      <c r="G154">
        <f t="shared" si="53"/>
        <v>16.615793696989854</v>
      </c>
      <c r="H154">
        <f t="shared" si="53"/>
        <v>3.9783504490271087</v>
      </c>
      <c r="I154">
        <f t="shared" si="53"/>
        <v>1.9585681024447035</v>
      </c>
      <c r="J154">
        <f t="shared" si="53"/>
        <v>0.92974180941293849</v>
      </c>
      <c r="K154">
        <f t="shared" si="53"/>
        <v>3.3915807417262598</v>
      </c>
    </row>
    <row r="155" spans="1:18" x14ac:dyDescent="0.35">
      <c r="B155" s="2" t="s">
        <v>52</v>
      </c>
      <c r="D155">
        <f>D154+($J154*0)</f>
        <v>19.528452519540991</v>
      </c>
      <c r="E155">
        <f t="shared" ref="E155:H155" si="54">E154+($J154*0)</f>
        <v>4.8482107517046416</v>
      </c>
      <c r="F155">
        <f t="shared" si="54"/>
        <v>5.2258078330284388</v>
      </c>
      <c r="G155">
        <f>G154+($J154*0.152)</f>
        <v>16.75711445202062</v>
      </c>
      <c r="H155">
        <f t="shared" si="54"/>
        <v>3.9783504490271087</v>
      </c>
      <c r="I155">
        <f>I154+($J154*0.3052)</f>
        <v>2.2423253026775325</v>
      </c>
      <c r="J155" s="13"/>
      <c r="K155">
        <f>K154+($J154*0.2892)</f>
        <v>3.6604620730084818</v>
      </c>
    </row>
    <row r="156" spans="1:18" x14ac:dyDescent="0.35">
      <c r="B156" s="2" t="s">
        <v>50</v>
      </c>
      <c r="D156">
        <f>D155+($I155*0.2936)</f>
        <v>20.186799228407114</v>
      </c>
      <c r="E156">
        <f t="shared" ref="E156:G156" si="55">E155+($I155*0)</f>
        <v>4.8482107517046416</v>
      </c>
      <c r="F156">
        <f>F155+($I155*0.058)</f>
        <v>5.355862700583736</v>
      </c>
      <c r="G156">
        <f t="shared" si="55"/>
        <v>16.75711445202062</v>
      </c>
      <c r="H156">
        <f>H155+($I155*0.0726)</f>
        <v>4.1411432660014977</v>
      </c>
      <c r="I156" s="13"/>
      <c r="J156" s="13"/>
      <c r="K156">
        <f>K155+($I155*0.1386)</f>
        <v>3.9712483599595876</v>
      </c>
    </row>
    <row r="157" spans="1:18" x14ac:dyDescent="0.35">
      <c r="C157" s="2" t="s">
        <v>56</v>
      </c>
      <c r="D157" s="11">
        <f>D156-C152</f>
        <v>0.18679922840711427</v>
      </c>
      <c r="E157">
        <f t="shared" ref="E157:K157" si="56">E156</f>
        <v>4.8482107517046416</v>
      </c>
      <c r="F157">
        <f t="shared" si="56"/>
        <v>5.355862700583736</v>
      </c>
      <c r="G157">
        <f t="shared" si="56"/>
        <v>16.75711445202062</v>
      </c>
      <c r="H157">
        <f t="shared" si="56"/>
        <v>4.1411432660014977</v>
      </c>
      <c r="I157" s="13"/>
      <c r="J157" s="13"/>
      <c r="K157">
        <f t="shared" si="56"/>
        <v>3.9712483599595876</v>
      </c>
    </row>
    <row r="158" spans="1:18" x14ac:dyDescent="0.35">
      <c r="B158" s="2" t="s">
        <v>72</v>
      </c>
      <c r="D158" s="13"/>
      <c r="E158">
        <f>E157+($D157*0.0985)</f>
        <v>4.8666104757027426</v>
      </c>
      <c r="F158">
        <f>F157+($D157*0.1445)</f>
        <v>5.3828551890885636</v>
      </c>
      <c r="G158">
        <f>G157+($D157*0.2051)</f>
        <v>16.795426973766919</v>
      </c>
      <c r="H158">
        <f>H157+($D157*0.0441)</f>
        <v>4.1493811119742512</v>
      </c>
      <c r="I158" s="13"/>
      <c r="J158" s="13"/>
      <c r="K158">
        <f>K157+($D157*0.2323)</f>
        <v>4.0146418207185599</v>
      </c>
    </row>
    <row r="159" spans="1:18" x14ac:dyDescent="0.35">
      <c r="B159" s="2" t="s">
        <v>51</v>
      </c>
      <c r="D159" s="13"/>
      <c r="E159">
        <f>E158+($K158*0.0288)</f>
        <v>4.9822321601394375</v>
      </c>
      <c r="F159">
        <f>F158+($K158*0.0345)</f>
        <v>5.5213603319033542</v>
      </c>
      <c r="G159">
        <f t="shared" ref="G159:H159" si="57">G158+($K158*0)</f>
        <v>16.795426973766919</v>
      </c>
      <c r="H159">
        <f t="shared" si="57"/>
        <v>4.1493811119742512</v>
      </c>
      <c r="I159" s="13"/>
      <c r="J159" s="13"/>
      <c r="K159" s="13"/>
    </row>
    <row r="160" spans="1:18" x14ac:dyDescent="0.35">
      <c r="B160" s="2" t="s">
        <v>60</v>
      </c>
      <c r="D160" s="13"/>
      <c r="E160">
        <f>E159+($H159*0.2754)</f>
        <v>6.1249717183771466</v>
      </c>
      <c r="F160">
        <f>F159+($H159*0.0436)</f>
        <v>5.7022733483854315</v>
      </c>
      <c r="G160">
        <f>G159+($H159*0.4247)</f>
        <v>18.557669132022383</v>
      </c>
      <c r="H160" s="13"/>
      <c r="I160" s="13"/>
      <c r="J160" s="13"/>
      <c r="K160" s="13"/>
    </row>
    <row r="161" spans="1:18" x14ac:dyDescent="0.35">
      <c r="B161" s="2" t="s">
        <v>54</v>
      </c>
      <c r="D161" s="13"/>
      <c r="E161">
        <f>E160+($F160*0.3462)</f>
        <v>8.0990987515881834</v>
      </c>
      <c r="F161" s="13"/>
      <c r="G161">
        <f>G160+($F160*0.1365)</f>
        <v>19.336029444076996</v>
      </c>
      <c r="H161" s="13"/>
      <c r="I161" s="13"/>
      <c r="J161" s="13"/>
      <c r="K161" s="13"/>
    </row>
    <row r="162" spans="1:18" x14ac:dyDescent="0.35">
      <c r="C162" s="2" t="s">
        <v>49</v>
      </c>
      <c r="D162" s="13"/>
      <c r="E162">
        <f>E161+($F161*0.3462)</f>
        <v>8.0990987515881834</v>
      </c>
      <c r="F162" s="13"/>
      <c r="G162" s="11">
        <f>G161+($F161*0.1365)</f>
        <v>19.336029444076996</v>
      </c>
      <c r="H162" s="13"/>
      <c r="I162" s="13"/>
      <c r="J162" s="13"/>
      <c r="K162" s="13"/>
    </row>
    <row r="164" spans="1:18" x14ac:dyDescent="0.35">
      <c r="A164" s="2" t="s">
        <v>17</v>
      </c>
      <c r="B164">
        <v>4</v>
      </c>
      <c r="C164">
        <f>100/5</f>
        <v>20</v>
      </c>
      <c r="D164" s="6">
        <v>0.36048491979839409</v>
      </c>
      <c r="E164" s="6">
        <v>0.35512088308004824</v>
      </c>
      <c r="F164" s="6">
        <v>6.7310553649795893E-2</v>
      </c>
      <c r="G164" s="6">
        <v>9.7766418811444766E-2</v>
      </c>
      <c r="H164" s="6">
        <v>3.3396155688852264E-2</v>
      </c>
      <c r="I164" s="6">
        <v>2.0804398152584277E-2</v>
      </c>
      <c r="J164" s="6">
        <v>1.5058962074318238E-2</v>
      </c>
      <c r="K164" s="6">
        <v>3.1369425653015461E-2</v>
      </c>
      <c r="L164" s="9">
        <v>4.2544221076637094E-3</v>
      </c>
      <c r="M164" s="9">
        <v>2.012226672543646E-3</v>
      </c>
      <c r="N164" s="9">
        <v>2.7021329602728962E-3</v>
      </c>
      <c r="O164" s="9">
        <v>6.1899925260152167E-3</v>
      </c>
      <c r="P164" s="9">
        <v>1.0156953680458404E-3</v>
      </c>
      <c r="Q164" s="9">
        <v>2.5104923247925492E-3</v>
      </c>
      <c r="R164" s="9">
        <v>0</v>
      </c>
    </row>
    <row r="165" spans="1:18" x14ac:dyDescent="0.35">
      <c r="A165" s="2" t="s">
        <v>83</v>
      </c>
      <c r="B165" s="11" t="s">
        <v>59</v>
      </c>
      <c r="C165" s="2" t="s">
        <v>56</v>
      </c>
      <c r="D165" s="11">
        <f>(D164*100)-C164</f>
        <v>16.048491979839412</v>
      </c>
      <c r="E165">
        <f t="shared" ref="E165:K165" si="58">E164*100</f>
        <v>35.512088308004827</v>
      </c>
      <c r="F165">
        <f t="shared" si="58"/>
        <v>6.7310553649795892</v>
      </c>
      <c r="G165">
        <f t="shared" si="58"/>
        <v>9.7766418811444762</v>
      </c>
      <c r="H165">
        <f t="shared" si="58"/>
        <v>3.3396155688852263</v>
      </c>
      <c r="I165">
        <f t="shared" si="58"/>
        <v>2.0804398152584276</v>
      </c>
      <c r="J165">
        <f t="shared" si="58"/>
        <v>1.5058962074318238</v>
      </c>
      <c r="K165">
        <f t="shared" si="58"/>
        <v>3.1369425653015459</v>
      </c>
    </row>
    <row r="166" spans="1:18" x14ac:dyDescent="0.35">
      <c r="C166" s="2" t="s">
        <v>26</v>
      </c>
      <c r="D166">
        <f>D165</f>
        <v>16.048491979839412</v>
      </c>
      <c r="E166" s="11">
        <f>E165-C164</f>
        <v>15.512088308004827</v>
      </c>
      <c r="F166">
        <f t="shared" ref="F166:K166" si="59">F165</f>
        <v>6.7310553649795892</v>
      </c>
      <c r="G166">
        <f t="shared" si="59"/>
        <v>9.7766418811444762</v>
      </c>
      <c r="H166">
        <f t="shared" si="59"/>
        <v>3.3396155688852263</v>
      </c>
      <c r="I166">
        <f t="shared" si="59"/>
        <v>2.0804398152584276</v>
      </c>
      <c r="J166">
        <f t="shared" si="59"/>
        <v>1.5058962074318238</v>
      </c>
      <c r="K166">
        <f t="shared" si="59"/>
        <v>3.1369425653015459</v>
      </c>
    </row>
    <row r="167" spans="1:18" x14ac:dyDescent="0.35">
      <c r="B167" s="2" t="s">
        <v>52</v>
      </c>
      <c r="D167">
        <f>D166+($J166*0)</f>
        <v>16.048491979839412</v>
      </c>
      <c r="E167">
        <f>E166+($J166*0)</f>
        <v>15.512088308004827</v>
      </c>
      <c r="F167">
        <f>F166+($J166*0)</f>
        <v>6.7310553649795892</v>
      </c>
      <c r="G167">
        <f>G166+($J166*0.152)</f>
        <v>10.005538104674113</v>
      </c>
      <c r="H167">
        <f>H166+($J166*0)</f>
        <v>3.3396155688852263</v>
      </c>
      <c r="I167">
        <f>I166+($J166*0.3052)</f>
        <v>2.5400393377666202</v>
      </c>
      <c r="J167" s="13"/>
      <c r="K167">
        <f>K166+($J166*0.2892)</f>
        <v>3.5724477484908292</v>
      </c>
    </row>
    <row r="168" spans="1:18" x14ac:dyDescent="0.35">
      <c r="B168" s="2" t="s">
        <v>50</v>
      </c>
      <c r="D168">
        <f>D167+($I167*0.2936)</f>
        <v>16.794247529407691</v>
      </c>
      <c r="E168">
        <f>E167+($I167*0.2936)</f>
        <v>16.257843857573107</v>
      </c>
      <c r="F168">
        <f>F167+($I167*0.058)</f>
        <v>6.878377646570053</v>
      </c>
      <c r="G168">
        <f t="shared" ref="G168" si="60">G167+($I167*0)</f>
        <v>10.005538104674113</v>
      </c>
      <c r="H168">
        <f>H167+($I167*0.0726)</f>
        <v>3.5240224248070828</v>
      </c>
      <c r="I168" s="13"/>
      <c r="J168" s="13"/>
      <c r="K168">
        <f>K167+($I167*0.1386)</f>
        <v>3.9244972007052827</v>
      </c>
    </row>
    <row r="169" spans="1:18" x14ac:dyDescent="0.35">
      <c r="B169" s="2" t="s">
        <v>60</v>
      </c>
      <c r="D169">
        <f>D168+($H168*0)</f>
        <v>16.794247529407691</v>
      </c>
      <c r="E169">
        <f>E168+($H168*0.2754)</f>
        <v>17.228359633364978</v>
      </c>
      <c r="F169">
        <f>F168+($H168*0.0436)</f>
        <v>7.0320250242916416</v>
      </c>
      <c r="G169">
        <f>G168+($H168*0.4247)</f>
        <v>11.50219042848968</v>
      </c>
      <c r="H169" s="13"/>
      <c r="I169" s="13"/>
      <c r="J169" s="13"/>
      <c r="K169">
        <f t="shared" ref="K169" si="61">K168+($H168*0)</f>
        <v>3.9244972007052827</v>
      </c>
    </row>
    <row r="170" spans="1:18" x14ac:dyDescent="0.35">
      <c r="B170" s="2" t="s">
        <v>51</v>
      </c>
      <c r="D170">
        <f>D169+($K169*0.4066)</f>
        <v>18.38994809121446</v>
      </c>
      <c r="E170">
        <f>E169+($K169*0.0288)</f>
        <v>17.341385152745289</v>
      </c>
      <c r="F170">
        <f>F169+($K169*0.0345)</f>
        <v>7.1674201777159734</v>
      </c>
      <c r="G170">
        <f>G169+($K169*0)</f>
        <v>11.50219042848968</v>
      </c>
      <c r="H170" s="13"/>
      <c r="I170" s="13"/>
      <c r="J170" s="13"/>
      <c r="K170" s="13"/>
    </row>
    <row r="171" spans="1:18" x14ac:dyDescent="0.35">
      <c r="B171" s="2" t="s">
        <v>54</v>
      </c>
      <c r="D171">
        <f>D170+($F170*0.0411)</f>
        <v>18.684529060518585</v>
      </c>
      <c r="E171">
        <f>E170+($F170*0.3462)</f>
        <v>19.822746018270561</v>
      </c>
      <c r="F171" s="13"/>
      <c r="G171">
        <f>G170+($F170*0.1265)</f>
        <v>12.408869080970751</v>
      </c>
      <c r="H171" s="13"/>
      <c r="I171" s="13"/>
      <c r="J171" s="13"/>
      <c r="K171" s="13"/>
    </row>
    <row r="172" spans="1:18" x14ac:dyDescent="0.35">
      <c r="B172" s="2" t="s">
        <v>80</v>
      </c>
      <c r="D172">
        <f>D171+(G171*0.1061)</f>
        <v>20.001110070009581</v>
      </c>
      <c r="E172">
        <f>E171+(G171*0.5659)</f>
        <v>26.844925031191909</v>
      </c>
      <c r="F172" s="13"/>
      <c r="G172" s="13"/>
      <c r="H172" s="13"/>
      <c r="I172" s="13"/>
      <c r="J172" s="13"/>
      <c r="K172" s="13"/>
    </row>
    <row r="173" spans="1:18" x14ac:dyDescent="0.35">
      <c r="B173" s="2"/>
      <c r="C173" t="s">
        <v>26</v>
      </c>
      <c r="D173">
        <f>D172</f>
        <v>20.001110070009581</v>
      </c>
      <c r="E173" s="11">
        <f>E172-C164</f>
        <v>6.8449250311919094</v>
      </c>
      <c r="F173" s="13"/>
      <c r="G173" s="13"/>
      <c r="H173" s="13"/>
      <c r="I173" s="13"/>
      <c r="J173" s="13"/>
      <c r="K173" s="13"/>
    </row>
    <row r="174" spans="1:18" x14ac:dyDescent="0.35">
      <c r="B174" s="2"/>
      <c r="C174" t="s">
        <v>56</v>
      </c>
      <c r="D174" s="11">
        <f>D173-C164</f>
        <v>1.1100700095809657E-3</v>
      </c>
      <c r="E174">
        <f>E173</f>
        <v>6.8449250311919094</v>
      </c>
      <c r="F174" s="13"/>
      <c r="G174" s="13"/>
      <c r="H174" s="13"/>
      <c r="I174" s="13"/>
      <c r="J174" s="13"/>
      <c r="K174" s="13"/>
    </row>
    <row r="176" spans="1:18" x14ac:dyDescent="0.35">
      <c r="A176" t="s">
        <v>18</v>
      </c>
      <c r="B176">
        <v>3</v>
      </c>
      <c r="C176">
        <f>100/4</f>
        <v>25</v>
      </c>
      <c r="D176" s="6">
        <v>0.28340303255826088</v>
      </c>
      <c r="E176" s="6">
        <v>0.2296554156251408</v>
      </c>
      <c r="F176" s="6">
        <v>4.1462046339334445E-2</v>
      </c>
      <c r="G176" s="6">
        <v>0.32487810671413242</v>
      </c>
      <c r="H176" s="6">
        <v>3.1551955928707347E-2</v>
      </c>
      <c r="I176" s="6">
        <v>1.5905793656403055E-2</v>
      </c>
      <c r="J176" s="6">
        <v>9.2399877996136876E-3</v>
      </c>
      <c r="K176" s="6">
        <v>2.539754359849351E-2</v>
      </c>
      <c r="L176" s="9">
        <v>7.1648118706942234E-3</v>
      </c>
      <c r="M176" s="9">
        <v>1.7996820349761525E-2</v>
      </c>
      <c r="N176" s="9">
        <v>2.4589295177530474E-3</v>
      </c>
      <c r="O176" s="9">
        <v>6.1473237943826175E-3</v>
      </c>
      <c r="P176" s="9">
        <v>5.2994170641229468E-4</v>
      </c>
      <c r="Q176" s="9">
        <v>7.4191838897721247E-4</v>
      </c>
      <c r="R176" s="9">
        <v>3.5612082670906202E-3</v>
      </c>
    </row>
    <row r="177" spans="1:18" x14ac:dyDescent="0.35">
      <c r="A177" s="2" t="s">
        <v>84</v>
      </c>
      <c r="B177" s="11" t="s">
        <v>59</v>
      </c>
      <c r="C177" s="2" t="s">
        <v>49</v>
      </c>
      <c r="D177">
        <f>D176*100</f>
        <v>28.34030325582609</v>
      </c>
      <c r="E177">
        <f t="shared" ref="E177:K177" si="62">E176*100</f>
        <v>22.96554156251408</v>
      </c>
      <c r="F177">
        <f t="shared" si="62"/>
        <v>4.1462046339334444</v>
      </c>
      <c r="G177" s="11">
        <f>(G176*100)-C176</f>
        <v>7.4878106714132429</v>
      </c>
      <c r="H177">
        <f t="shared" si="62"/>
        <v>3.1551955928707347</v>
      </c>
      <c r="I177">
        <f t="shared" si="62"/>
        <v>1.5905793656403056</v>
      </c>
      <c r="J177">
        <f t="shared" si="62"/>
        <v>0.92399877996136881</v>
      </c>
      <c r="K177">
        <f t="shared" si="62"/>
        <v>2.5397543598493511</v>
      </c>
    </row>
    <row r="178" spans="1:18" x14ac:dyDescent="0.35">
      <c r="C178" s="2" t="s">
        <v>56</v>
      </c>
      <c r="D178" s="11">
        <f>D177-C176</f>
        <v>3.3403032558260897</v>
      </c>
      <c r="E178">
        <f t="shared" ref="E178:K178" si="63">E177</f>
        <v>22.96554156251408</v>
      </c>
      <c r="F178">
        <f t="shared" si="63"/>
        <v>4.1462046339334444</v>
      </c>
      <c r="G178">
        <f t="shared" si="63"/>
        <v>7.4878106714132429</v>
      </c>
      <c r="H178">
        <f t="shared" si="63"/>
        <v>3.1551955928707347</v>
      </c>
      <c r="I178">
        <f t="shared" si="63"/>
        <v>1.5905793656403056</v>
      </c>
      <c r="J178">
        <f t="shared" si="63"/>
        <v>0.92399877996136881</v>
      </c>
      <c r="K178">
        <f t="shared" si="63"/>
        <v>2.5397543598493511</v>
      </c>
    </row>
    <row r="179" spans="1:18" x14ac:dyDescent="0.35">
      <c r="B179" s="2" t="s">
        <v>52</v>
      </c>
      <c r="D179">
        <f>D178+($J178*0)</f>
        <v>3.3403032558260897</v>
      </c>
      <c r="E179">
        <f t="shared" ref="E179:F179" si="64">E178+($J178*0)</f>
        <v>22.96554156251408</v>
      </c>
      <c r="F179">
        <f t="shared" si="64"/>
        <v>4.1462046339334444</v>
      </c>
      <c r="G179">
        <f>G178+($J178*0.152)</f>
        <v>7.628258485967371</v>
      </c>
      <c r="H179">
        <f t="shared" ref="H179" si="65">H178+($J178*0)</f>
        <v>3.1551955928707347</v>
      </c>
      <c r="I179">
        <f>I178+($J178*0.3052)</f>
        <v>1.8725837932845153</v>
      </c>
      <c r="J179" s="13"/>
      <c r="K179">
        <f>K178+($J178*0.2892)</f>
        <v>2.8069748070141789</v>
      </c>
    </row>
    <row r="180" spans="1:18" x14ac:dyDescent="0.35">
      <c r="B180" s="2" t="s">
        <v>50</v>
      </c>
      <c r="D180">
        <f>D179+($I179*0.2936)</f>
        <v>3.8900938575344233</v>
      </c>
      <c r="E180">
        <f t="shared" ref="E180" si="66">E179+($I179*0)</f>
        <v>22.96554156251408</v>
      </c>
      <c r="F180">
        <f>F179+($I179*0.058)</f>
        <v>4.2548144939439467</v>
      </c>
      <c r="G180">
        <f t="shared" ref="G180" si="67">G179+($I179*0)</f>
        <v>7.628258485967371</v>
      </c>
      <c r="H180">
        <f>H179+($I179*0.0726)</f>
        <v>3.2911451762631905</v>
      </c>
      <c r="I180" s="13"/>
      <c r="J180" s="13"/>
      <c r="K180">
        <f>K179+($I179*0.1386)</f>
        <v>3.0665149207634128</v>
      </c>
    </row>
    <row r="181" spans="1:18" x14ac:dyDescent="0.35">
      <c r="B181" s="2" t="s">
        <v>51</v>
      </c>
      <c r="D181">
        <f>D180+($K180*0.4066)</f>
        <v>5.136938824316827</v>
      </c>
      <c r="E181">
        <f>E180+($K180*0.0288)</f>
        <v>23.053857192232066</v>
      </c>
      <c r="F181">
        <f>F180+($K180*0.0345)</f>
        <v>4.3606092587102845</v>
      </c>
      <c r="G181">
        <f t="shared" ref="G181:H181" si="68">G180+($K180*0)</f>
        <v>7.628258485967371</v>
      </c>
      <c r="H181">
        <f t="shared" si="68"/>
        <v>3.2911451762631905</v>
      </c>
      <c r="I181" s="13"/>
      <c r="J181" s="13"/>
      <c r="K181" s="13"/>
    </row>
    <row r="182" spans="1:18" x14ac:dyDescent="0.35">
      <c r="B182" s="2" t="s">
        <v>60</v>
      </c>
      <c r="D182">
        <f>D181+($H181*0)</f>
        <v>5.136938824316827</v>
      </c>
      <c r="E182">
        <f>E181+($H181*0.2754)</f>
        <v>23.960238573774948</v>
      </c>
      <c r="F182">
        <f>F181+($H181*0.0436)</f>
        <v>4.5041031883953595</v>
      </c>
      <c r="G182">
        <f>G181+($H181*0.4247)</f>
        <v>9.0260078423263472</v>
      </c>
      <c r="H182" s="13"/>
      <c r="I182" s="13"/>
      <c r="J182" s="13"/>
      <c r="K182" s="13"/>
    </row>
    <row r="183" spans="1:18" x14ac:dyDescent="0.35">
      <c r="B183" s="2" t="s">
        <v>85</v>
      </c>
      <c r="D183">
        <f>D182+($F182*0.0411)</f>
        <v>5.322057465359876</v>
      </c>
      <c r="E183">
        <f>E182+($F182*0.3462)</f>
        <v>25.519559097597423</v>
      </c>
      <c r="F183" s="13"/>
      <c r="G183">
        <f>G182+($F182*0.1365)</f>
        <v>9.6408179275423134</v>
      </c>
      <c r="H183" s="13"/>
      <c r="I183" s="13"/>
      <c r="J183" s="13"/>
      <c r="K183" s="13"/>
    </row>
    <row r="184" spans="1:18" x14ac:dyDescent="0.35">
      <c r="C184" s="2" t="s">
        <v>26</v>
      </c>
      <c r="D184">
        <f>D183</f>
        <v>5.322057465359876</v>
      </c>
      <c r="E184" s="11">
        <f>E183-C176</f>
        <v>0.51955909759742269</v>
      </c>
      <c r="F184" s="13"/>
      <c r="G184">
        <f>G183</f>
        <v>9.6408179275423134</v>
      </c>
      <c r="H184" s="13"/>
      <c r="I184" s="13"/>
      <c r="J184" s="13"/>
      <c r="K184" s="13"/>
    </row>
    <row r="186" spans="1:18" x14ac:dyDescent="0.35">
      <c r="A186" t="s">
        <v>19</v>
      </c>
      <c r="B186">
        <v>4</v>
      </c>
      <c r="C186">
        <f>100/5</f>
        <v>20</v>
      </c>
      <c r="D186" s="6">
        <v>0.22321489052908847</v>
      </c>
      <c r="E186" s="6">
        <v>0.4280191751557611</v>
      </c>
      <c r="F186" s="6">
        <v>3.038074707695133E-2</v>
      </c>
      <c r="G186" s="6">
        <v>0.199924594187217</v>
      </c>
      <c r="H186" s="6">
        <v>2.517391609112038E-2</v>
      </c>
      <c r="I186" s="6">
        <v>2.6239027702760861E-2</v>
      </c>
      <c r="J186" s="6">
        <v>8.9285662769845019E-3</v>
      </c>
      <c r="K186" s="6">
        <v>3.0167776262335973E-2</v>
      </c>
      <c r="L186" s="9">
        <v>8.3579928225146378E-3</v>
      </c>
      <c r="M186" s="9">
        <v>3.5730025813763143E-3</v>
      </c>
      <c r="N186" s="9">
        <v>1.873071837814015E-3</v>
      </c>
      <c r="O186" s="9">
        <v>5.7608764087389028E-3</v>
      </c>
      <c r="P186" s="9">
        <v>1.6527104451300133E-3</v>
      </c>
      <c r="Q186" s="9">
        <v>3.793363974060316E-3</v>
      </c>
      <c r="R186" s="9">
        <v>3.0535792986211671E-3</v>
      </c>
    </row>
    <row r="187" spans="1:18" x14ac:dyDescent="0.35">
      <c r="A187" t="s">
        <v>86</v>
      </c>
      <c r="B187" s="11" t="s">
        <v>59</v>
      </c>
      <c r="C187" s="2" t="s">
        <v>26</v>
      </c>
      <c r="D187">
        <f>D186*100</f>
        <v>22.321489052908845</v>
      </c>
      <c r="E187" s="11">
        <f>(E186*100)-C186</f>
        <v>22.801917515576108</v>
      </c>
      <c r="F187">
        <f t="shared" ref="F187:K187" si="69">F186*100</f>
        <v>3.0380747076951331</v>
      </c>
      <c r="G187">
        <f t="shared" si="69"/>
        <v>19.992459418721701</v>
      </c>
      <c r="H187">
        <f t="shared" si="69"/>
        <v>2.5173916091120381</v>
      </c>
      <c r="I187">
        <f t="shared" si="69"/>
        <v>2.6239027702760862</v>
      </c>
      <c r="J187">
        <f t="shared" si="69"/>
        <v>0.8928566276984502</v>
      </c>
      <c r="K187">
        <f t="shared" si="69"/>
        <v>3.0167776262335972</v>
      </c>
    </row>
    <row r="188" spans="1:18" x14ac:dyDescent="0.35">
      <c r="C188" s="2" t="s">
        <v>26</v>
      </c>
      <c r="D188">
        <f>D187</f>
        <v>22.321489052908845</v>
      </c>
      <c r="E188" s="11">
        <f>E187-C186</f>
        <v>2.8019175155761076</v>
      </c>
      <c r="F188">
        <f t="shared" ref="F188:K189" si="70">F187</f>
        <v>3.0380747076951331</v>
      </c>
      <c r="G188">
        <f t="shared" si="70"/>
        <v>19.992459418721701</v>
      </c>
      <c r="H188">
        <f t="shared" si="70"/>
        <v>2.5173916091120381</v>
      </c>
      <c r="I188">
        <f t="shared" si="70"/>
        <v>2.6239027702760862</v>
      </c>
      <c r="J188">
        <f t="shared" si="70"/>
        <v>0.8928566276984502</v>
      </c>
      <c r="K188">
        <f t="shared" si="70"/>
        <v>3.0167776262335972</v>
      </c>
    </row>
    <row r="189" spans="1:18" x14ac:dyDescent="0.35">
      <c r="C189" s="2" t="s">
        <v>56</v>
      </c>
      <c r="D189" s="11">
        <f>D188-C186</f>
        <v>2.321489052908845</v>
      </c>
      <c r="E189">
        <f t="shared" ref="E189" si="71">E188</f>
        <v>2.8019175155761076</v>
      </c>
      <c r="F189">
        <f t="shared" si="70"/>
        <v>3.0380747076951331</v>
      </c>
      <c r="G189">
        <f t="shared" si="70"/>
        <v>19.992459418721701</v>
      </c>
      <c r="H189">
        <f t="shared" si="70"/>
        <v>2.5173916091120381</v>
      </c>
      <c r="I189">
        <f t="shared" si="70"/>
        <v>2.6239027702760862</v>
      </c>
      <c r="J189">
        <f t="shared" si="70"/>
        <v>0.8928566276984502</v>
      </c>
      <c r="K189">
        <f t="shared" si="70"/>
        <v>3.0167776262335972</v>
      </c>
    </row>
    <row r="190" spans="1:18" x14ac:dyDescent="0.35">
      <c r="B190" s="2" t="s">
        <v>52</v>
      </c>
      <c r="D190">
        <f>D189+($J189*0)</f>
        <v>2.321489052908845</v>
      </c>
      <c r="E190">
        <f t="shared" ref="E190:F190" si="72">E189+($J189*0)</f>
        <v>2.8019175155761076</v>
      </c>
      <c r="F190">
        <f t="shared" si="72"/>
        <v>3.0380747076951331</v>
      </c>
      <c r="G190">
        <f>G189+($J189*0.152)</f>
        <v>20.128173626131865</v>
      </c>
      <c r="H190">
        <f t="shared" ref="H190" si="73">H189+($J189*0)</f>
        <v>2.5173916091120381</v>
      </c>
      <c r="I190">
        <f>I189+($J189*0.3052)</f>
        <v>2.8964026130496534</v>
      </c>
      <c r="J190" s="13"/>
      <c r="K190">
        <f>K189+($J189*0.2892)</f>
        <v>3.2749917629639889</v>
      </c>
    </row>
    <row r="191" spans="1:18" x14ac:dyDescent="0.35">
      <c r="B191" s="2"/>
      <c r="C191" t="s">
        <v>49</v>
      </c>
      <c r="D191">
        <f>D190</f>
        <v>2.321489052908845</v>
      </c>
      <c r="E191">
        <f t="shared" ref="E191:K191" si="74">E190</f>
        <v>2.8019175155761076</v>
      </c>
      <c r="F191">
        <f t="shared" si="74"/>
        <v>3.0380747076951331</v>
      </c>
      <c r="G191" s="11">
        <f>G190-C186</f>
        <v>0.12817362613186489</v>
      </c>
      <c r="H191">
        <f t="shared" si="74"/>
        <v>2.5173916091120381</v>
      </c>
      <c r="I191">
        <f t="shared" si="74"/>
        <v>2.8964026130496534</v>
      </c>
      <c r="J191" s="13"/>
      <c r="K191">
        <f t="shared" si="74"/>
        <v>3.2749917629639889</v>
      </c>
    </row>
    <row r="193" spans="1:18" x14ac:dyDescent="0.35">
      <c r="A193" t="s">
        <v>20</v>
      </c>
      <c r="B193">
        <v>4</v>
      </c>
      <c r="C193">
        <f>100/5</f>
        <v>20</v>
      </c>
      <c r="D193" s="6">
        <v>0.33140712243089115</v>
      </c>
      <c r="E193" s="6">
        <v>0.37529478736391464</v>
      </c>
      <c r="F193" s="6">
        <v>5.4265785908992087E-2</v>
      </c>
      <c r="G193" s="6">
        <v>0.1063753281937221</v>
      </c>
      <c r="H193" s="6">
        <v>3.2236546983962409E-2</v>
      </c>
      <c r="I193" s="6">
        <v>2.2973585631386191E-2</v>
      </c>
      <c r="J193" s="6">
        <v>1.21817231633694E-2</v>
      </c>
      <c r="K193" s="6">
        <v>4.3561427830827629E-2</v>
      </c>
      <c r="L193" s="9">
        <v>6.8398080171246049E-3</v>
      </c>
      <c r="M193" s="9">
        <v>4.1306420054517783E-3</v>
      </c>
      <c r="N193" s="9">
        <v>2.4081475659314014E-3</v>
      </c>
      <c r="O193" s="9">
        <v>7.1408264628660297E-3</v>
      </c>
      <c r="P193" s="9">
        <v>1.1873505359800659E-3</v>
      </c>
      <c r="Q193" s="9">
        <v>0</v>
      </c>
      <c r="R193" s="9">
        <v>0</v>
      </c>
    </row>
    <row r="194" spans="1:18" x14ac:dyDescent="0.35">
      <c r="A194" s="2" t="s">
        <v>66</v>
      </c>
      <c r="B194" s="11" t="s">
        <v>87</v>
      </c>
      <c r="C194" s="2" t="s">
        <v>26</v>
      </c>
      <c r="D194">
        <f>D193*100</f>
        <v>33.140712243089112</v>
      </c>
      <c r="E194" s="11">
        <f>(E193*100)-C193</f>
        <v>17.529478736391461</v>
      </c>
      <c r="F194">
        <f t="shared" ref="F194:K194" si="75">F193*100</f>
        <v>5.4265785908992088</v>
      </c>
      <c r="G194">
        <f t="shared" si="75"/>
        <v>10.637532819372209</v>
      </c>
      <c r="H194">
        <f t="shared" si="75"/>
        <v>3.2236546983962411</v>
      </c>
      <c r="I194">
        <f t="shared" si="75"/>
        <v>2.2973585631386193</v>
      </c>
      <c r="J194">
        <f t="shared" si="75"/>
        <v>1.21817231633694</v>
      </c>
      <c r="K194">
        <f t="shared" si="75"/>
        <v>4.3561427830827633</v>
      </c>
    </row>
    <row r="195" spans="1:18" x14ac:dyDescent="0.35">
      <c r="C195" s="2" t="s">
        <v>56</v>
      </c>
      <c r="D195" s="11">
        <f>D194-C193</f>
        <v>13.140712243089112</v>
      </c>
      <c r="E195">
        <f t="shared" ref="E195:K195" si="76">E194</f>
        <v>17.529478736391461</v>
      </c>
      <c r="F195">
        <f t="shared" si="76"/>
        <v>5.4265785908992088</v>
      </c>
      <c r="G195">
        <f t="shared" si="76"/>
        <v>10.637532819372209</v>
      </c>
      <c r="H195">
        <f t="shared" si="76"/>
        <v>3.2236546983962411</v>
      </c>
      <c r="I195">
        <f t="shared" si="76"/>
        <v>2.2973585631386193</v>
      </c>
      <c r="J195">
        <f t="shared" si="76"/>
        <v>1.21817231633694</v>
      </c>
      <c r="K195">
        <f t="shared" si="76"/>
        <v>4.3561427830827633</v>
      </c>
    </row>
    <row r="196" spans="1:18" x14ac:dyDescent="0.35">
      <c r="B196" s="2" t="s">
        <v>52</v>
      </c>
      <c r="D196">
        <f>D195+($J195*0)</f>
        <v>13.140712243089112</v>
      </c>
      <c r="E196">
        <f t="shared" ref="E196:F196" si="77">E195+($J195*0)</f>
        <v>17.529478736391461</v>
      </c>
      <c r="F196">
        <f t="shared" si="77"/>
        <v>5.4265785908992088</v>
      </c>
      <c r="G196">
        <f>G195+($J195*0.152)</f>
        <v>10.822695011455425</v>
      </c>
      <c r="H196">
        <f t="shared" ref="H196" si="78">H195+($J195*0)</f>
        <v>3.2236546983962411</v>
      </c>
      <c r="I196">
        <f>I195+($J195*0.3052)</f>
        <v>2.6691447540846536</v>
      </c>
      <c r="J196" s="13"/>
      <c r="K196">
        <f>K195+($J195*0.2892)</f>
        <v>4.7084382169674059</v>
      </c>
    </row>
    <row r="197" spans="1:18" x14ac:dyDescent="0.35">
      <c r="B197" s="2" t="s">
        <v>50</v>
      </c>
      <c r="D197">
        <f>D196+($I196*0.2936)</f>
        <v>13.924373142888367</v>
      </c>
      <c r="E197">
        <f t="shared" ref="E197" si="79">E196+($I196*0)</f>
        <v>17.529478736391461</v>
      </c>
      <c r="F197">
        <f>F196+($I196*0.058)</f>
        <v>5.581388986636119</v>
      </c>
      <c r="G197">
        <f t="shared" ref="G197" si="80">G196+($I196*0)</f>
        <v>10.822695011455425</v>
      </c>
      <c r="H197">
        <f>H196+($I196*0.0726)</f>
        <v>3.4174346075427868</v>
      </c>
      <c r="I197" s="13"/>
      <c r="J197" s="13"/>
      <c r="K197">
        <f>K196+($I196*0.1386)</f>
        <v>5.0783816798835391</v>
      </c>
    </row>
    <row r="198" spans="1:18" x14ac:dyDescent="0.35">
      <c r="B198" s="2" t="s">
        <v>60</v>
      </c>
      <c r="D198">
        <f>D197+($H197*0)</f>
        <v>13.924373142888367</v>
      </c>
      <c r="E198">
        <f>E197+($H197*0.2754)</f>
        <v>18.470640227308746</v>
      </c>
      <c r="F198">
        <f>F197+($H197*0.0436)</f>
        <v>5.7303891355249847</v>
      </c>
      <c r="G198">
        <f>G197+($H197*0.4247)</f>
        <v>12.274079489278847</v>
      </c>
      <c r="H198" s="13"/>
      <c r="I198" s="13"/>
      <c r="J198" s="13"/>
      <c r="K198">
        <f t="shared" ref="K198" si="81">K197+($H197*0)</f>
        <v>5.0783816798835391</v>
      </c>
    </row>
    <row r="199" spans="1:18" x14ac:dyDescent="0.35">
      <c r="B199" s="2" t="s">
        <v>51</v>
      </c>
      <c r="D199">
        <f>D198+($K198*0.4066)</f>
        <v>15.989243133929014</v>
      </c>
      <c r="E199">
        <f>E198+($K198*0.0288)</f>
        <v>18.616897619689393</v>
      </c>
      <c r="F199">
        <f>F198+($K198*0.0345)</f>
        <v>5.9055933034809671</v>
      </c>
      <c r="G199">
        <f>G198+($K198*0)</f>
        <v>12.274079489278847</v>
      </c>
      <c r="H199" s="13"/>
      <c r="I199" s="13"/>
      <c r="J199" s="13"/>
      <c r="K199" s="13"/>
    </row>
    <row r="200" spans="1:18" x14ac:dyDescent="0.35">
      <c r="B200" s="2" t="s">
        <v>54</v>
      </c>
      <c r="D200">
        <f>D199+($F199*0.0411)</f>
        <v>16.231963018702082</v>
      </c>
      <c r="E200">
        <f>E199+($F199*0.3462)</f>
        <v>20.661414021354503</v>
      </c>
      <c r="F200" s="13"/>
      <c r="G200">
        <f>G199+($F199*0.1365)</f>
        <v>13.080192975204</v>
      </c>
      <c r="H200" s="13"/>
      <c r="I200" s="13"/>
      <c r="J200" s="13"/>
      <c r="K200" s="13"/>
    </row>
    <row r="201" spans="1:18" x14ac:dyDescent="0.35">
      <c r="C201" s="2" t="s">
        <v>26</v>
      </c>
      <c r="D201">
        <f>D200</f>
        <v>16.231963018702082</v>
      </c>
      <c r="E201" s="11">
        <f>E200-C193</f>
        <v>0.66141402135450278</v>
      </c>
      <c r="F201" s="13"/>
      <c r="G201">
        <f t="shared" ref="G201" si="82">G200</f>
        <v>13.080192975204</v>
      </c>
      <c r="H201" s="13"/>
      <c r="I201" s="13"/>
      <c r="J201" s="13"/>
      <c r="K201" s="13"/>
    </row>
    <row r="202" spans="1:18" x14ac:dyDescent="0.35">
      <c r="B202" t="s">
        <v>68</v>
      </c>
      <c r="C202" s="2"/>
      <c r="D202">
        <f>D201+(E201*0.1863)</f>
        <v>16.355184450880426</v>
      </c>
      <c r="E202" s="13"/>
      <c r="F202" s="13"/>
      <c r="G202">
        <f>G201+(E201*0.4211)</f>
        <v>13.35871441959638</v>
      </c>
      <c r="H202" s="13"/>
      <c r="I202" s="13"/>
      <c r="J202" s="13"/>
      <c r="K202" s="13"/>
    </row>
    <row r="203" spans="1:18" x14ac:dyDescent="0.35">
      <c r="C203" s="2" t="s">
        <v>56</v>
      </c>
      <c r="D203" s="11">
        <f>D202-C193</f>
        <v>-3.6448155491195742</v>
      </c>
      <c r="E203" s="13"/>
      <c r="F203" s="13"/>
      <c r="G203">
        <f>G202</f>
        <v>13.35871441959638</v>
      </c>
      <c r="H203" s="13"/>
      <c r="I203" s="13"/>
      <c r="J203" s="13"/>
      <c r="K203" s="13"/>
    </row>
    <row r="204" spans="1:18" x14ac:dyDescent="0.35">
      <c r="C204" s="2"/>
      <c r="H204" s="13"/>
      <c r="I204" s="13"/>
      <c r="J204" s="13"/>
      <c r="K204" s="13"/>
    </row>
    <row r="206" spans="1:18" x14ac:dyDescent="0.35">
      <c r="A206" t="s">
        <v>21</v>
      </c>
      <c r="B206">
        <v>4</v>
      </c>
      <c r="C206">
        <f>100/5</f>
        <v>20</v>
      </c>
      <c r="D206" s="6">
        <v>0.31689059177418744</v>
      </c>
      <c r="E206" s="6">
        <v>0.42548364107609066</v>
      </c>
      <c r="F206" s="6">
        <v>4.8013296000605388E-2</v>
      </c>
      <c r="G206" s="6">
        <v>9.9906725566612425E-2</v>
      </c>
      <c r="H206" s="6">
        <v>2.6411782511634948E-2</v>
      </c>
      <c r="I206" s="6">
        <v>1.8945660070377238E-2</v>
      </c>
      <c r="J206" s="6">
        <v>9.8438079382496494E-3</v>
      </c>
      <c r="K206" s="6">
        <v>3.5266682432176781E-2</v>
      </c>
      <c r="L206" s="9">
        <v>5.2593741723107193E-3</v>
      </c>
      <c r="M206" s="9">
        <v>3.9350713231677322E-3</v>
      </c>
      <c r="N206" s="9">
        <v>2.4026637405879904E-3</v>
      </c>
      <c r="O206" s="9">
        <v>6.1863861667108104E-3</v>
      </c>
      <c r="P206" s="9">
        <v>1.4567331340572857E-3</v>
      </c>
      <c r="Q206" s="9">
        <v>0</v>
      </c>
      <c r="R206" s="9">
        <v>0</v>
      </c>
    </row>
    <row r="207" spans="1:18" x14ac:dyDescent="0.35">
      <c r="A207" s="2" t="s">
        <v>66</v>
      </c>
      <c r="B207" s="12" t="s">
        <v>87</v>
      </c>
      <c r="C207" s="2" t="s">
        <v>26</v>
      </c>
      <c r="D207">
        <f>D206*100</f>
        <v>31.689059177418745</v>
      </c>
      <c r="E207" s="11">
        <f>(E206*100)-C206</f>
        <v>22.548364107609068</v>
      </c>
      <c r="F207">
        <f t="shared" ref="F207:K207" si="83">F206*100</f>
        <v>4.801329600060539</v>
      </c>
      <c r="G207">
        <f t="shared" si="83"/>
        <v>9.9906725566612433</v>
      </c>
      <c r="H207">
        <f t="shared" si="83"/>
        <v>2.6411782511634949</v>
      </c>
      <c r="I207">
        <f t="shared" si="83"/>
        <v>1.8945660070377239</v>
      </c>
      <c r="J207">
        <f t="shared" si="83"/>
        <v>0.98438079382496491</v>
      </c>
      <c r="K207">
        <f t="shared" si="83"/>
        <v>3.5266682432176779</v>
      </c>
    </row>
    <row r="208" spans="1:18" x14ac:dyDescent="0.35">
      <c r="C208" s="2" t="s">
        <v>56</v>
      </c>
      <c r="D208" s="11">
        <f>D207-C206</f>
        <v>11.689059177418745</v>
      </c>
      <c r="E208">
        <f t="shared" ref="E208:K209" si="84">E207</f>
        <v>22.548364107609068</v>
      </c>
      <c r="F208">
        <f t="shared" si="84"/>
        <v>4.801329600060539</v>
      </c>
      <c r="G208">
        <f t="shared" si="84"/>
        <v>9.9906725566612433</v>
      </c>
      <c r="H208">
        <f t="shared" si="84"/>
        <v>2.6411782511634949</v>
      </c>
      <c r="I208">
        <f t="shared" si="84"/>
        <v>1.8945660070377239</v>
      </c>
      <c r="J208">
        <f t="shared" si="84"/>
        <v>0.98438079382496491</v>
      </c>
      <c r="K208">
        <f t="shared" si="84"/>
        <v>3.5266682432176779</v>
      </c>
    </row>
    <row r="209" spans="1:18" x14ac:dyDescent="0.35">
      <c r="C209" s="2" t="s">
        <v>26</v>
      </c>
      <c r="D209">
        <f>D208</f>
        <v>11.689059177418745</v>
      </c>
      <c r="E209" s="11">
        <f>E208-C206</f>
        <v>2.5483641076090677</v>
      </c>
      <c r="F209">
        <f t="shared" si="84"/>
        <v>4.801329600060539</v>
      </c>
      <c r="G209">
        <f t="shared" si="84"/>
        <v>9.9906725566612433</v>
      </c>
      <c r="H209">
        <f t="shared" si="84"/>
        <v>2.6411782511634949</v>
      </c>
      <c r="I209">
        <f t="shared" si="84"/>
        <v>1.8945660070377239</v>
      </c>
      <c r="J209">
        <f t="shared" si="84"/>
        <v>0.98438079382496491</v>
      </c>
      <c r="K209">
        <f t="shared" si="84"/>
        <v>3.5266682432176779</v>
      </c>
    </row>
    <row r="210" spans="1:18" x14ac:dyDescent="0.35">
      <c r="B210" s="2" t="s">
        <v>52</v>
      </c>
      <c r="D210">
        <f>D209+($J209*0)</f>
        <v>11.689059177418745</v>
      </c>
      <c r="E210">
        <f t="shared" ref="E210:H210" si="85">E209+($J209*0)</f>
        <v>2.5483641076090677</v>
      </c>
      <c r="F210">
        <f t="shared" si="85"/>
        <v>4.801329600060539</v>
      </c>
      <c r="G210">
        <f>G209+($J209*0.152)</f>
        <v>10.140298437322638</v>
      </c>
      <c r="H210">
        <f t="shared" si="85"/>
        <v>2.6411782511634949</v>
      </c>
      <c r="I210">
        <f>I209+($J209*0.3052)</f>
        <v>2.1949990253131033</v>
      </c>
      <c r="J210" s="13"/>
      <c r="K210">
        <f>K209+($J209*0.2892)</f>
        <v>3.811351168791858</v>
      </c>
    </row>
    <row r="211" spans="1:18" x14ac:dyDescent="0.35">
      <c r="B211" s="2" t="s">
        <v>50</v>
      </c>
      <c r="D211">
        <f>D210+($I210*0.2936)</f>
        <v>12.333510891250672</v>
      </c>
      <c r="E211">
        <f t="shared" ref="E211:G211" si="86">E210+($I210*0)</f>
        <v>2.5483641076090677</v>
      </c>
      <c r="F211">
        <f>F210+($I210*0.058)</f>
        <v>4.9286395435286989</v>
      </c>
      <c r="G211">
        <f t="shared" si="86"/>
        <v>10.140298437322638</v>
      </c>
      <c r="H211">
        <f>H210+($I210*0.0726)</f>
        <v>2.8005351804012264</v>
      </c>
      <c r="I211" s="13"/>
      <c r="J211" s="13"/>
      <c r="K211">
        <f>K210+($I210*0.1386)</f>
        <v>4.1155780337002543</v>
      </c>
    </row>
    <row r="212" spans="1:18" x14ac:dyDescent="0.35">
      <c r="B212" s="2" t="s">
        <v>68</v>
      </c>
      <c r="D212">
        <f>D211+($E211*0.1863)</f>
        <v>12.808271124498241</v>
      </c>
      <c r="E212" s="13"/>
      <c r="F212">
        <f>F211+($E211*0.1592)</f>
        <v>5.3343391094600623</v>
      </c>
      <c r="G212">
        <f>G211+($E211*0.4211)</f>
        <v>11.213414563036817</v>
      </c>
      <c r="H212">
        <f>H211+($E211*0.0877)</f>
        <v>3.0240267126385416</v>
      </c>
      <c r="I212" s="13"/>
      <c r="J212" s="13"/>
      <c r="K212">
        <f t="shared" ref="K212" si="87">K211+($E211*0)</f>
        <v>4.1155780337002543</v>
      </c>
    </row>
    <row r="213" spans="1:18" x14ac:dyDescent="0.35">
      <c r="B213" s="2" t="s">
        <v>53</v>
      </c>
      <c r="D213">
        <f>D212+($H212*0)</f>
        <v>12.808271124498241</v>
      </c>
      <c r="E213" s="13"/>
      <c r="F213">
        <f>F212+($H212*0.0436)</f>
        <v>5.4661866741311025</v>
      </c>
      <c r="G213">
        <f>G212+($H212*0.4247)</f>
        <v>12.497718707894407</v>
      </c>
      <c r="H213" s="13"/>
      <c r="I213" s="13"/>
      <c r="J213" s="13"/>
      <c r="K213">
        <f>K212+($H212*0)</f>
        <v>4.1155780337002543</v>
      </c>
    </row>
    <row r="214" spans="1:18" x14ac:dyDescent="0.35">
      <c r="B214" s="2" t="s">
        <v>51</v>
      </c>
      <c r="C214" s="2"/>
      <c r="D214">
        <f>D213+($K213*0.4066)</f>
        <v>14.481665153000764</v>
      </c>
      <c r="E214" s="13"/>
      <c r="F214">
        <f>F213+($K213*0.0345)</f>
        <v>5.6081741162937613</v>
      </c>
      <c r="G214">
        <f>G213+($K213*0)</f>
        <v>12.497718707894407</v>
      </c>
      <c r="H214" s="13"/>
      <c r="I214" s="13"/>
      <c r="J214" s="13"/>
      <c r="K214" s="13"/>
    </row>
    <row r="215" spans="1:18" x14ac:dyDescent="0.35">
      <c r="B215" s="2" t="s">
        <v>54</v>
      </c>
      <c r="D215">
        <f>D214+(F214*0.0411)</f>
        <v>14.712161109180437</v>
      </c>
      <c r="E215" s="13"/>
      <c r="F215" s="13"/>
      <c r="G215">
        <f>G214+(F214*0.1365)</f>
        <v>13.263234474768506</v>
      </c>
      <c r="H215" s="13"/>
      <c r="I215" s="13"/>
      <c r="J215" s="13"/>
      <c r="K215" s="13"/>
    </row>
    <row r="216" spans="1:18" x14ac:dyDescent="0.35">
      <c r="B216" s="2"/>
      <c r="C216" s="2" t="s">
        <v>56</v>
      </c>
      <c r="D216" s="11">
        <f>D215-C206</f>
        <v>-5.2878388908195628</v>
      </c>
      <c r="E216" s="13"/>
      <c r="F216" s="13"/>
      <c r="G216" s="15">
        <f>G215</f>
        <v>13.263234474768506</v>
      </c>
      <c r="H216" s="13"/>
      <c r="I216" s="13"/>
      <c r="J216" s="13"/>
      <c r="K216" s="13"/>
    </row>
    <row r="217" spans="1:18" x14ac:dyDescent="0.35">
      <c r="C217" s="2"/>
    </row>
    <row r="219" spans="1:18" x14ac:dyDescent="0.35">
      <c r="A219" t="s">
        <v>22</v>
      </c>
      <c r="B219">
        <v>4</v>
      </c>
      <c r="C219">
        <v>20</v>
      </c>
      <c r="D219" s="6">
        <v>0.13782130370043202</v>
      </c>
      <c r="E219" s="6">
        <v>0.49207642209519825</v>
      </c>
      <c r="F219" s="6">
        <v>3.7135680186207054E-2</v>
      </c>
      <c r="G219" s="6">
        <v>0.20303622359047779</v>
      </c>
      <c r="H219" s="6">
        <v>3.0794472295617152E-2</v>
      </c>
      <c r="I219" s="6">
        <v>2.4070173300417788E-2</v>
      </c>
      <c r="J219" s="6">
        <v>8.4524353290554889E-3</v>
      </c>
      <c r="K219" s="6">
        <v>2.4561694803583001E-2</v>
      </c>
      <c r="L219" s="9">
        <v>7.1786310517529218E-3</v>
      </c>
      <c r="M219" s="9">
        <v>1.4565943238731218E-2</v>
      </c>
      <c r="N219" s="9">
        <v>3.1093489148580969E-3</v>
      </c>
      <c r="O219" s="9">
        <v>5.9265442404006679E-3</v>
      </c>
      <c r="P219" s="9">
        <v>2.3580968280467445E-3</v>
      </c>
      <c r="Q219" s="9">
        <v>8.3055091819699504E-3</v>
      </c>
      <c r="R219" s="9">
        <v>1.0225375626043405E-3</v>
      </c>
    </row>
    <row r="220" spans="1:18" x14ac:dyDescent="0.35">
      <c r="A220" s="2" t="s">
        <v>88</v>
      </c>
      <c r="B220" s="14" t="s">
        <v>57</v>
      </c>
      <c r="C220" s="2" t="s">
        <v>26</v>
      </c>
      <c r="D220">
        <f>D219*100</f>
        <v>13.782130370043202</v>
      </c>
      <c r="E220" s="11">
        <f>(E219*100)-C219</f>
        <v>29.207642209519825</v>
      </c>
      <c r="F220">
        <f t="shared" ref="F220:K220" si="88">F219*100</f>
        <v>3.7135680186207054</v>
      </c>
      <c r="G220">
        <f t="shared" si="88"/>
        <v>20.303622359047779</v>
      </c>
      <c r="H220">
        <f t="shared" si="88"/>
        <v>3.079447229561715</v>
      </c>
      <c r="I220">
        <f t="shared" si="88"/>
        <v>2.407017330041779</v>
      </c>
      <c r="J220">
        <f t="shared" si="88"/>
        <v>0.84524353290554888</v>
      </c>
      <c r="K220">
        <f t="shared" si="88"/>
        <v>2.4561694803582999</v>
      </c>
    </row>
    <row r="221" spans="1:18" x14ac:dyDescent="0.35">
      <c r="C221" s="2" t="s">
        <v>26</v>
      </c>
      <c r="D221">
        <f>D220</f>
        <v>13.782130370043202</v>
      </c>
      <c r="E221" s="11">
        <f>E220-C219</f>
        <v>9.2076422095198254</v>
      </c>
      <c r="F221">
        <f t="shared" ref="F221:K222" si="89">F220</f>
        <v>3.7135680186207054</v>
      </c>
      <c r="G221">
        <f t="shared" si="89"/>
        <v>20.303622359047779</v>
      </c>
      <c r="H221">
        <f t="shared" si="89"/>
        <v>3.079447229561715</v>
      </c>
      <c r="I221">
        <f t="shared" si="89"/>
        <v>2.407017330041779</v>
      </c>
      <c r="J221">
        <f t="shared" si="89"/>
        <v>0.84524353290554888</v>
      </c>
      <c r="K221">
        <f t="shared" si="89"/>
        <v>2.4561694803582999</v>
      </c>
    </row>
    <row r="222" spans="1:18" x14ac:dyDescent="0.35">
      <c r="C222" s="2" t="s">
        <v>49</v>
      </c>
      <c r="D222">
        <f>D221</f>
        <v>13.782130370043202</v>
      </c>
      <c r="E222">
        <f t="shared" ref="E222" si="90">E221</f>
        <v>9.2076422095198254</v>
      </c>
      <c r="F222">
        <f t="shared" si="89"/>
        <v>3.7135680186207054</v>
      </c>
      <c r="G222">
        <f>G221-C219</f>
        <v>0.3036223590477789</v>
      </c>
      <c r="H222">
        <f t="shared" si="89"/>
        <v>3.079447229561715</v>
      </c>
      <c r="I222">
        <f t="shared" si="89"/>
        <v>2.407017330041779</v>
      </c>
      <c r="J222">
        <f t="shared" si="89"/>
        <v>0.84524353290554888</v>
      </c>
      <c r="K222">
        <f t="shared" si="89"/>
        <v>2.4561694803582999</v>
      </c>
    </row>
    <row r="223" spans="1:18" x14ac:dyDescent="0.35">
      <c r="B223" s="2" t="s">
        <v>89</v>
      </c>
      <c r="D223">
        <f>D222+($G222*((0+0.139)/2))</f>
        <v>13.803232123997022</v>
      </c>
      <c r="E223">
        <f>E222+($G222*((0.4615+0.471)/2))</f>
        <v>9.3492061344258524</v>
      </c>
      <c r="F223">
        <f>F222+($G222*((0.0129+0.0283)/2))</f>
        <v>3.7198226392170897</v>
      </c>
      <c r="G223" s="13"/>
      <c r="H223">
        <f>H222+($G222*((0.3775+0.192)/2))</f>
        <v>3.1659036963005702</v>
      </c>
      <c r="I223">
        <f>I222+($G222*((0+0.0646)/2))</f>
        <v>2.4168243322390222</v>
      </c>
      <c r="J223">
        <f t="shared" ref="J223:K223" si="91">J222+($G222*0)</f>
        <v>0.84524353290554888</v>
      </c>
      <c r="K223">
        <f t="shared" si="91"/>
        <v>2.4561694803582999</v>
      </c>
    </row>
    <row r="224" spans="1:18" x14ac:dyDescent="0.35">
      <c r="B224" s="2" t="s">
        <v>52</v>
      </c>
      <c r="D224">
        <f>D223+($J223*0)</f>
        <v>13.803232123997022</v>
      </c>
      <c r="E224">
        <f t="shared" ref="E224:F224" si="92">E223+($J223*0)</f>
        <v>9.3492061344258524</v>
      </c>
      <c r="F224">
        <f t="shared" si="92"/>
        <v>3.7198226392170897</v>
      </c>
      <c r="G224" s="13"/>
      <c r="H224">
        <f>H223+($J223*0)</f>
        <v>3.1659036963005702</v>
      </c>
      <c r="I224">
        <f>I223+($J223*0.3052)</f>
        <v>2.6747926584817958</v>
      </c>
      <c r="J224" s="13"/>
      <c r="K224">
        <f>K223+($J223*0.2892)</f>
        <v>2.7006139100745847</v>
      </c>
    </row>
    <row r="225" spans="1:18" x14ac:dyDescent="0.35">
      <c r="B225" s="2" t="s">
        <v>50</v>
      </c>
      <c r="D225">
        <f>D224+($I224*0.2936)</f>
        <v>14.588551248527278</v>
      </c>
      <c r="E225">
        <f>E224+($I224*0)</f>
        <v>9.3492061344258524</v>
      </c>
      <c r="F225">
        <f>F224+($I224*0.058)</f>
        <v>3.874960613409034</v>
      </c>
      <c r="G225" s="13"/>
      <c r="H225">
        <f>H224+($I224*0.0726)</f>
        <v>3.3600936433063486</v>
      </c>
      <c r="I225" s="13"/>
      <c r="J225" s="13"/>
      <c r="K225">
        <f>K224+($I224*0.1386)</f>
        <v>3.0713401725401615</v>
      </c>
    </row>
    <row r="226" spans="1:18" x14ac:dyDescent="0.35">
      <c r="B226" s="2" t="s">
        <v>51</v>
      </c>
      <c r="D226">
        <f>D225+($K225*0.4066)</f>
        <v>15.837358162682108</v>
      </c>
      <c r="E226">
        <f>E225+($K225*0.0288)</f>
        <v>9.4376607313950096</v>
      </c>
      <c r="F226">
        <f>F225+($K225*0.0345)</f>
        <v>3.9809218493616694</v>
      </c>
      <c r="G226" s="13"/>
      <c r="H226">
        <f t="shared" ref="H226" si="93">H225+($K225*0)</f>
        <v>3.3600936433063486</v>
      </c>
      <c r="I226" s="13"/>
      <c r="J226" s="13"/>
      <c r="K226" s="13"/>
    </row>
    <row r="227" spans="1:18" x14ac:dyDescent="0.35">
      <c r="B227" s="2" t="s">
        <v>60</v>
      </c>
      <c r="D227">
        <f>D226+($H226*0)</f>
        <v>15.837358162682108</v>
      </c>
      <c r="E227">
        <f>E226+($H226*0.2754)</f>
        <v>10.363030520761578</v>
      </c>
      <c r="F227">
        <f>F226+($H226*0.0436)</f>
        <v>4.1274219322098258</v>
      </c>
      <c r="G227" s="13"/>
      <c r="H227" s="13"/>
      <c r="I227" s="13"/>
      <c r="J227" s="13"/>
      <c r="K227" s="13"/>
    </row>
    <row r="228" spans="1:18" x14ac:dyDescent="0.35">
      <c r="B228" s="2" t="s">
        <v>54</v>
      </c>
      <c r="D228">
        <f>D227+(F227*0.0411)</f>
        <v>16.006995204095933</v>
      </c>
      <c r="E228">
        <f>E227+(F227*0.3462)</f>
        <v>11.79194399369262</v>
      </c>
      <c r="F228" s="13"/>
      <c r="G228" s="13"/>
      <c r="H228" s="13"/>
      <c r="I228" s="13"/>
      <c r="J228" s="13"/>
      <c r="K228" s="13"/>
    </row>
    <row r="229" spans="1:18" x14ac:dyDescent="0.35">
      <c r="C229" s="2" t="s">
        <v>56</v>
      </c>
      <c r="D229" s="11">
        <f>D228+(F228*0.0411)</f>
        <v>16.006995204095933</v>
      </c>
      <c r="E229">
        <f>E228+(F228*0.3462)</f>
        <v>11.79194399369262</v>
      </c>
      <c r="F229" s="13"/>
      <c r="G229" s="13"/>
      <c r="H229" s="13"/>
      <c r="I229" s="13"/>
      <c r="J229" s="13"/>
      <c r="K229" s="13"/>
    </row>
    <row r="231" spans="1:18" x14ac:dyDescent="0.35">
      <c r="A231" t="s">
        <v>23</v>
      </c>
      <c r="B231">
        <v>4</v>
      </c>
      <c r="C231">
        <f>100/5</f>
        <v>20</v>
      </c>
      <c r="D231" s="6">
        <v>0.17909135208433577</v>
      </c>
      <c r="E231" s="6">
        <v>0.46679717641398016</v>
      </c>
      <c r="F231" s="6">
        <v>6.1249910327632204E-2</v>
      </c>
      <c r="G231" s="6">
        <v>0.16401732426403043</v>
      </c>
      <c r="H231" s="6">
        <v>2.8178386772232188E-2</v>
      </c>
      <c r="I231" s="6">
        <v>2.9296351865622676E-2</v>
      </c>
      <c r="J231" s="6">
        <v>1.0604260531035387E-2</v>
      </c>
      <c r="K231" s="6">
        <v>2.6597611653033551E-2</v>
      </c>
      <c r="L231" s="9">
        <v>5.0741437382441712E-3</v>
      </c>
      <c r="M231" s="9">
        <v>6.2989370543720747E-3</v>
      </c>
      <c r="N231" s="9">
        <v>3.040111981103189E-3</v>
      </c>
      <c r="O231" s="9">
        <v>9.4484055815581124E-3</v>
      </c>
      <c r="P231" s="9">
        <v>2.4933292506889465E-3</v>
      </c>
      <c r="Q231" s="9">
        <v>8.2892261930799186E-3</v>
      </c>
      <c r="R231" s="9">
        <v>0</v>
      </c>
    </row>
    <row r="232" spans="1:18" x14ac:dyDescent="0.35">
      <c r="A232" s="2" t="s">
        <v>90</v>
      </c>
      <c r="B232" s="12" t="s">
        <v>87</v>
      </c>
      <c r="C232" s="2" t="s">
        <v>26</v>
      </c>
      <c r="D232">
        <f>D231*100</f>
        <v>17.909135208433575</v>
      </c>
      <c r="E232" s="11">
        <f>(E231*100)-C231</f>
        <v>26.679717641398014</v>
      </c>
      <c r="F232">
        <f t="shared" ref="F232:K232" si="94">F231*100</f>
        <v>6.1249910327632202</v>
      </c>
      <c r="G232">
        <f t="shared" si="94"/>
        <v>16.401732426403044</v>
      </c>
      <c r="H232">
        <f t="shared" si="94"/>
        <v>2.8178386772232189</v>
      </c>
      <c r="I232">
        <f t="shared" si="94"/>
        <v>2.9296351865622676</v>
      </c>
      <c r="J232">
        <f t="shared" si="94"/>
        <v>1.0604260531035385</v>
      </c>
      <c r="K232">
        <f t="shared" si="94"/>
        <v>2.659761165303355</v>
      </c>
    </row>
    <row r="233" spans="1:18" x14ac:dyDescent="0.35">
      <c r="C233" s="2" t="s">
        <v>26</v>
      </c>
      <c r="D233">
        <f>D232</f>
        <v>17.909135208433575</v>
      </c>
      <c r="E233" s="11">
        <f>E232-C231</f>
        <v>6.6797176413980139</v>
      </c>
      <c r="F233">
        <f t="shared" ref="F233:K233" si="95">F232</f>
        <v>6.1249910327632202</v>
      </c>
      <c r="G233">
        <f t="shared" si="95"/>
        <v>16.401732426403044</v>
      </c>
      <c r="H233">
        <f t="shared" si="95"/>
        <v>2.8178386772232189</v>
      </c>
      <c r="I233">
        <f t="shared" si="95"/>
        <v>2.9296351865622676</v>
      </c>
      <c r="J233">
        <f t="shared" si="95"/>
        <v>1.0604260531035385</v>
      </c>
      <c r="K233">
        <f t="shared" si="95"/>
        <v>2.659761165303355</v>
      </c>
    </row>
    <row r="234" spans="1:18" x14ac:dyDescent="0.35">
      <c r="B234" s="2" t="s">
        <v>52</v>
      </c>
      <c r="D234">
        <f>D233+($J233*0)</f>
        <v>17.909135208433575</v>
      </c>
      <c r="E234">
        <f t="shared" ref="E234:F234" si="96">E233+($J233*0)</f>
        <v>6.6797176413980139</v>
      </c>
      <c r="F234">
        <f t="shared" si="96"/>
        <v>6.1249910327632202</v>
      </c>
      <c r="G234">
        <f>G233+($J233*0.152)</f>
        <v>16.562917186474781</v>
      </c>
      <c r="H234">
        <f t="shared" ref="H234" si="97">H233+($J233*0)</f>
        <v>2.8178386772232189</v>
      </c>
      <c r="I234">
        <f>I233+($J233*0.3052)</f>
        <v>3.2532772179694676</v>
      </c>
      <c r="J234" s="13"/>
      <c r="K234">
        <f>K233+($J233*0.2892)</f>
        <v>2.9664363798608986</v>
      </c>
    </row>
    <row r="235" spans="1:18" x14ac:dyDescent="0.35">
      <c r="B235" s="2" t="s">
        <v>60</v>
      </c>
      <c r="D235">
        <f>D234+($H234*0)</f>
        <v>17.909135208433575</v>
      </c>
      <c r="E235">
        <f>E234+($H234*0.2754)</f>
        <v>7.4557504131052887</v>
      </c>
      <c r="F235">
        <f>F234+($H234*0.0436)</f>
        <v>6.2478487990901526</v>
      </c>
      <c r="G235">
        <f>G234+($H234*0.4247)</f>
        <v>17.759653272691484</v>
      </c>
      <c r="H235" s="13"/>
      <c r="I235">
        <f>I234+($H234*0.0179)</f>
        <v>3.303716530291763</v>
      </c>
      <c r="J235" s="13"/>
      <c r="K235">
        <f t="shared" ref="K235" si="98">K234+($H234*0)</f>
        <v>2.9664363798608986</v>
      </c>
    </row>
    <row r="236" spans="1:18" x14ac:dyDescent="0.35">
      <c r="B236" s="2" t="s">
        <v>51</v>
      </c>
      <c r="D236">
        <f>D235+($K235*0.4066)</f>
        <v>19.115288240485018</v>
      </c>
      <c r="E236">
        <f>E235+($K235*0.0288)</f>
        <v>7.5411837808452828</v>
      </c>
      <c r="F236">
        <f>F235+($K235*0.0345)</f>
        <v>6.350190854195354</v>
      </c>
      <c r="G236">
        <f>G235+($K235*0)</f>
        <v>17.759653272691484</v>
      </c>
      <c r="H236" s="13"/>
      <c r="I236">
        <f>I235+($K235*0.1298)</f>
        <v>3.6887599723977078</v>
      </c>
      <c r="J236" s="13"/>
      <c r="K236" s="13"/>
    </row>
    <row r="237" spans="1:18" x14ac:dyDescent="0.35">
      <c r="B237" s="2" t="s">
        <v>50</v>
      </c>
      <c r="D237">
        <f>D236+($I236*0.2936)</f>
        <v>20.198308168380986</v>
      </c>
      <c r="E237">
        <f>E236+($I236*0)</f>
        <v>7.5411837808452828</v>
      </c>
      <c r="F237">
        <f>F236+($I236*0.058)</f>
        <v>6.564138932594421</v>
      </c>
      <c r="G237">
        <f>G236+($I236*0)</f>
        <v>17.759653272691484</v>
      </c>
      <c r="H237" s="13"/>
      <c r="I237" s="13"/>
      <c r="J237" s="13"/>
      <c r="K237" s="13"/>
    </row>
    <row r="238" spans="1:18" x14ac:dyDescent="0.35">
      <c r="C238" s="2" t="s">
        <v>56</v>
      </c>
      <c r="D238" s="11">
        <f>D237-C231</f>
        <v>0.19830816838098642</v>
      </c>
      <c r="E238">
        <f>E237</f>
        <v>7.5411837808452828</v>
      </c>
      <c r="F238">
        <f t="shared" ref="F238:G238" si="99">F237</f>
        <v>6.564138932594421</v>
      </c>
      <c r="G238">
        <f t="shared" si="99"/>
        <v>17.759653272691484</v>
      </c>
      <c r="H238" s="13"/>
      <c r="I238" s="13"/>
      <c r="J238" s="13"/>
      <c r="K238" s="13"/>
    </row>
    <row r="239" spans="1:18" x14ac:dyDescent="0.35">
      <c r="B239" t="s">
        <v>91</v>
      </c>
      <c r="D239" s="13"/>
      <c r="E239">
        <f>E238+($D238*0.1021)</f>
        <v>7.5614310448369819</v>
      </c>
      <c r="F239">
        <f>F238+($D238*0.0214)</f>
        <v>6.5683827273977737</v>
      </c>
      <c r="G239">
        <f>G238+($D238*0.2356)</f>
        <v>17.806374677162044</v>
      </c>
      <c r="H239" s="13"/>
      <c r="I239" s="13"/>
      <c r="J239" s="13"/>
      <c r="K239" s="13"/>
    </row>
    <row r="240" spans="1:18" x14ac:dyDescent="0.35">
      <c r="B240" t="s">
        <v>54</v>
      </c>
      <c r="D240" s="13"/>
      <c r="E240">
        <f>E239+(F239*0.3462)</f>
        <v>9.8354051450620918</v>
      </c>
      <c r="F240" s="13"/>
      <c r="G240">
        <f>G239+(F239*0.1365)</f>
        <v>18.702958919451842</v>
      </c>
      <c r="H240" s="13"/>
      <c r="I240" s="13"/>
      <c r="J240" s="13"/>
      <c r="K240" s="13"/>
    </row>
    <row r="241" spans="3:11" x14ac:dyDescent="0.35">
      <c r="C241" s="2" t="s">
        <v>49</v>
      </c>
      <c r="D241" s="13"/>
      <c r="E241">
        <f>E240</f>
        <v>9.8354051450620918</v>
      </c>
      <c r="F241" s="13"/>
      <c r="G241" s="11">
        <f>G240-C231</f>
        <v>-1.2970410805481585</v>
      </c>
      <c r="H241" s="13"/>
      <c r="I241" s="13"/>
      <c r="J241" s="13"/>
      <c r="K241" s="13"/>
    </row>
    <row r="242" spans="3:11" x14ac:dyDescent="0.35">
      <c r="C24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619B-73B3-4FC5-87FF-4778B2BA8F88}">
  <dimension ref="A1:F27"/>
  <sheetViews>
    <sheetView zoomScale="70" zoomScaleNormal="70" workbookViewId="0">
      <selection activeCell="I10" sqref="I10"/>
    </sheetView>
  </sheetViews>
  <sheetFormatPr defaultRowHeight="14.5" x14ac:dyDescent="0.35"/>
  <cols>
    <col min="1" max="1" width="61.08984375" bestFit="1" customWidth="1"/>
    <col min="5" max="5" width="11.1796875" bestFit="1" customWidth="1"/>
  </cols>
  <sheetData>
    <row r="1" spans="1:6" ht="26.5" x14ac:dyDescent="0.35">
      <c r="A1" s="1" t="s">
        <v>0</v>
      </c>
      <c r="B1" s="18" t="s">
        <v>25</v>
      </c>
      <c r="C1" s="19" t="s">
        <v>26</v>
      </c>
      <c r="D1" s="20" t="s">
        <v>27</v>
      </c>
      <c r="E1" s="21" t="s">
        <v>28</v>
      </c>
      <c r="F1" s="22" t="s">
        <v>107</v>
      </c>
    </row>
    <row r="2" spans="1:6" x14ac:dyDescent="0.35">
      <c r="A2" t="s">
        <v>4</v>
      </c>
      <c r="B2">
        <v>1</v>
      </c>
      <c r="C2">
        <v>3</v>
      </c>
      <c r="E2">
        <v>1</v>
      </c>
      <c r="F2">
        <f>SUM(B2:E2)</f>
        <v>5</v>
      </c>
    </row>
    <row r="3" spans="1:6" x14ac:dyDescent="0.35">
      <c r="A3" t="s">
        <v>5</v>
      </c>
      <c r="B3">
        <v>1</v>
      </c>
      <c r="C3">
        <v>1</v>
      </c>
      <c r="E3">
        <v>2</v>
      </c>
      <c r="F3">
        <f t="shared" ref="F3:F21" si="0">SUM(B3:E3)</f>
        <v>4</v>
      </c>
    </row>
    <row r="4" spans="1:6" x14ac:dyDescent="0.35">
      <c r="A4" t="s">
        <v>6</v>
      </c>
      <c r="B4">
        <v>1</v>
      </c>
      <c r="C4">
        <v>3</v>
      </c>
      <c r="E4">
        <v>1</v>
      </c>
      <c r="F4">
        <f t="shared" si="0"/>
        <v>5</v>
      </c>
    </row>
    <row r="5" spans="1:6" x14ac:dyDescent="0.35">
      <c r="A5" t="s">
        <v>7</v>
      </c>
      <c r="B5">
        <v>2</v>
      </c>
      <c r="C5">
        <v>1</v>
      </c>
      <c r="D5">
        <v>1</v>
      </c>
      <c r="F5">
        <f t="shared" si="0"/>
        <v>4</v>
      </c>
    </row>
    <row r="6" spans="1:6" x14ac:dyDescent="0.35">
      <c r="A6" t="s">
        <v>8</v>
      </c>
      <c r="B6">
        <v>2</v>
      </c>
      <c r="C6">
        <v>3</v>
      </c>
      <c r="E6">
        <v>1</v>
      </c>
      <c r="F6">
        <f t="shared" si="0"/>
        <v>6</v>
      </c>
    </row>
    <row r="7" spans="1:6" x14ac:dyDescent="0.35">
      <c r="A7" t="s">
        <v>9</v>
      </c>
      <c r="B7">
        <v>1</v>
      </c>
      <c r="C7">
        <v>3</v>
      </c>
      <c r="E7">
        <v>1</v>
      </c>
      <c r="F7">
        <f t="shared" si="0"/>
        <v>5</v>
      </c>
    </row>
    <row r="8" spans="1:6" x14ac:dyDescent="0.35">
      <c r="A8" t="s">
        <v>10</v>
      </c>
      <c r="B8">
        <v>1</v>
      </c>
      <c r="C8">
        <v>3</v>
      </c>
      <c r="D8">
        <v>1</v>
      </c>
      <c r="E8">
        <v>1</v>
      </c>
      <c r="F8">
        <f t="shared" si="0"/>
        <v>6</v>
      </c>
    </row>
    <row r="9" spans="1:6" x14ac:dyDescent="0.35">
      <c r="A9" t="s">
        <v>11</v>
      </c>
      <c r="B9">
        <v>2</v>
      </c>
      <c r="C9">
        <v>3</v>
      </c>
      <c r="E9">
        <v>1</v>
      </c>
      <c r="F9">
        <f t="shared" si="0"/>
        <v>6</v>
      </c>
    </row>
    <row r="10" spans="1:6" x14ac:dyDescent="0.35">
      <c r="A10" t="s">
        <v>12</v>
      </c>
      <c r="B10">
        <v>1</v>
      </c>
      <c r="C10">
        <v>2</v>
      </c>
      <c r="E10">
        <v>2</v>
      </c>
      <c r="F10">
        <f t="shared" si="0"/>
        <v>5</v>
      </c>
    </row>
    <row r="11" spans="1:6" x14ac:dyDescent="0.35">
      <c r="A11" t="s">
        <v>13</v>
      </c>
      <c r="B11">
        <v>2</v>
      </c>
      <c r="C11">
        <v>2</v>
      </c>
      <c r="E11">
        <v>1</v>
      </c>
      <c r="F11">
        <f t="shared" si="0"/>
        <v>5</v>
      </c>
    </row>
    <row r="12" spans="1:6" x14ac:dyDescent="0.35">
      <c r="A12" t="s">
        <v>14</v>
      </c>
      <c r="B12">
        <v>2</v>
      </c>
      <c r="C12">
        <v>2</v>
      </c>
      <c r="E12">
        <v>1</v>
      </c>
      <c r="F12">
        <f t="shared" si="0"/>
        <v>5</v>
      </c>
    </row>
    <row r="13" spans="1:6" x14ac:dyDescent="0.35">
      <c r="A13" t="s">
        <v>15</v>
      </c>
      <c r="B13">
        <v>2</v>
      </c>
      <c r="C13">
        <v>2</v>
      </c>
      <c r="E13">
        <v>1</v>
      </c>
      <c r="F13">
        <f t="shared" si="0"/>
        <v>5</v>
      </c>
    </row>
    <row r="14" spans="1:6" x14ac:dyDescent="0.35">
      <c r="A14" t="s">
        <v>16</v>
      </c>
      <c r="B14">
        <v>1</v>
      </c>
      <c r="C14">
        <v>3</v>
      </c>
      <c r="E14">
        <v>1</v>
      </c>
      <c r="F14">
        <f t="shared" si="0"/>
        <v>5</v>
      </c>
    </row>
    <row r="15" spans="1:6" x14ac:dyDescent="0.35">
      <c r="A15" s="2" t="s">
        <v>17</v>
      </c>
      <c r="B15">
        <v>2</v>
      </c>
      <c r="C15">
        <v>2</v>
      </c>
      <c r="E15">
        <v>1</v>
      </c>
      <c r="F15">
        <f t="shared" si="0"/>
        <v>5</v>
      </c>
    </row>
    <row r="16" spans="1:6" x14ac:dyDescent="0.35">
      <c r="A16" t="s">
        <v>18</v>
      </c>
      <c r="B16">
        <v>1</v>
      </c>
      <c r="C16">
        <v>1</v>
      </c>
      <c r="E16">
        <v>2</v>
      </c>
      <c r="F16">
        <f t="shared" si="0"/>
        <v>4</v>
      </c>
    </row>
    <row r="17" spans="1:6" x14ac:dyDescent="0.35">
      <c r="A17" t="s">
        <v>19</v>
      </c>
      <c r="B17">
        <v>1</v>
      </c>
      <c r="C17">
        <v>3</v>
      </c>
      <c r="E17">
        <v>1</v>
      </c>
      <c r="F17">
        <f t="shared" si="0"/>
        <v>5</v>
      </c>
    </row>
    <row r="18" spans="1:6" x14ac:dyDescent="0.35">
      <c r="A18" t="s">
        <v>20</v>
      </c>
      <c r="B18">
        <v>2</v>
      </c>
      <c r="C18">
        <v>2</v>
      </c>
      <c r="E18">
        <v>1</v>
      </c>
      <c r="F18">
        <f t="shared" si="0"/>
        <v>5</v>
      </c>
    </row>
    <row r="19" spans="1:6" x14ac:dyDescent="0.35">
      <c r="A19" t="s">
        <v>21</v>
      </c>
      <c r="B19">
        <v>2</v>
      </c>
      <c r="C19">
        <v>2</v>
      </c>
      <c r="E19">
        <v>1</v>
      </c>
      <c r="F19">
        <f t="shared" si="0"/>
        <v>5</v>
      </c>
    </row>
    <row r="20" spans="1:6" x14ac:dyDescent="0.35">
      <c r="A20" t="s">
        <v>22</v>
      </c>
      <c r="B20">
        <v>1</v>
      </c>
      <c r="C20">
        <v>3</v>
      </c>
      <c r="E20">
        <v>1</v>
      </c>
      <c r="F20">
        <f t="shared" si="0"/>
        <v>5</v>
      </c>
    </row>
    <row r="21" spans="1:6" x14ac:dyDescent="0.35">
      <c r="A21" t="s">
        <v>23</v>
      </c>
      <c r="B21">
        <v>1</v>
      </c>
      <c r="C21">
        <v>3</v>
      </c>
      <c r="E21">
        <v>1</v>
      </c>
      <c r="F21">
        <f t="shared" si="0"/>
        <v>5</v>
      </c>
    </row>
    <row r="23" spans="1:6" x14ac:dyDescent="0.35">
      <c r="A23" s="4" t="s">
        <v>30</v>
      </c>
      <c r="B23" s="4">
        <f>SUM(B2:B21)</f>
        <v>29</v>
      </c>
      <c r="C23" s="4">
        <f t="shared" ref="C23:F23" si="1">SUM(C2:C21)</f>
        <v>47</v>
      </c>
      <c r="D23" s="4">
        <f t="shared" si="1"/>
        <v>2</v>
      </c>
      <c r="E23" s="4">
        <f t="shared" si="1"/>
        <v>22</v>
      </c>
      <c r="F23" s="4">
        <f t="shared" si="1"/>
        <v>100</v>
      </c>
    </row>
    <row r="24" spans="1:6" x14ac:dyDescent="0.35">
      <c r="A24" s="5" t="s">
        <v>31</v>
      </c>
      <c r="B24" s="6">
        <f>B23/$F23</f>
        <v>0.28999999999999998</v>
      </c>
      <c r="C24" s="6">
        <f t="shared" ref="C24:F24" si="2">C23/$F23</f>
        <v>0.47</v>
      </c>
      <c r="D24" s="6">
        <f t="shared" si="2"/>
        <v>0.02</v>
      </c>
      <c r="E24" s="6">
        <f t="shared" si="2"/>
        <v>0.22</v>
      </c>
      <c r="F24" s="6">
        <f t="shared" si="2"/>
        <v>1</v>
      </c>
    </row>
    <row r="26" spans="1:6" x14ac:dyDescent="0.35">
      <c r="A26" s="2" t="s">
        <v>32</v>
      </c>
      <c r="B26" s="2">
        <v>16</v>
      </c>
      <c r="C26" s="2">
        <v>30</v>
      </c>
      <c r="D26" s="2">
        <v>1</v>
      </c>
      <c r="E26" s="2">
        <v>13</v>
      </c>
      <c r="F26" s="2">
        <v>60</v>
      </c>
    </row>
    <row r="27" spans="1:6" x14ac:dyDescent="0.35">
      <c r="A27" s="2" t="s">
        <v>33</v>
      </c>
      <c r="B27" s="6">
        <f>B26/$F26</f>
        <v>0.26666666666666666</v>
      </c>
      <c r="C27" s="6">
        <f t="shared" ref="C27:F27" si="3">C26/$F26</f>
        <v>0.5</v>
      </c>
      <c r="D27" s="6">
        <f t="shared" si="3"/>
        <v>1.6666666666666666E-2</v>
      </c>
      <c r="E27" s="6">
        <f t="shared" si="3"/>
        <v>0.21666666666666667</v>
      </c>
      <c r="F27" s="6">
        <f t="shared" si="3"/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CA1-9ACC-45E0-9A74-44AB55D2152D}">
  <dimension ref="A1:R258"/>
  <sheetViews>
    <sheetView topLeftCell="A145" zoomScale="50" zoomScaleNormal="50" workbookViewId="0">
      <selection activeCell="R27" sqref="R27"/>
    </sheetView>
  </sheetViews>
  <sheetFormatPr defaultRowHeight="14.5" x14ac:dyDescent="0.35"/>
  <cols>
    <col min="1" max="1" width="36.7265625" bestFit="1" customWidth="1"/>
    <col min="2" max="2" width="15.54296875" bestFit="1" customWidth="1"/>
    <col min="3" max="3" width="6.81640625" customWidth="1"/>
    <col min="5" max="5" width="9.81640625" bestFit="1" customWidth="1"/>
  </cols>
  <sheetData>
    <row r="1" spans="1:18" x14ac:dyDescent="0.35">
      <c r="A1" t="s">
        <v>34</v>
      </c>
      <c r="B1" t="s">
        <v>35</v>
      </c>
      <c r="C1" t="s">
        <v>36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37</v>
      </c>
      <c r="J1" t="s">
        <v>38</v>
      </c>
      <c r="K1" t="s">
        <v>39</v>
      </c>
      <c r="L1" s="8" t="s">
        <v>40</v>
      </c>
      <c r="M1" s="8" t="s">
        <v>41</v>
      </c>
      <c r="N1" s="8" t="s">
        <v>42</v>
      </c>
      <c r="O1" s="8" t="s">
        <v>43</v>
      </c>
      <c r="P1" s="8" t="s">
        <v>44</v>
      </c>
      <c r="Q1" t="s">
        <v>45</v>
      </c>
      <c r="R1" t="s">
        <v>46</v>
      </c>
    </row>
    <row r="2" spans="1:18" x14ac:dyDescent="0.35">
      <c r="A2" t="s">
        <v>4</v>
      </c>
      <c r="B2">
        <v>5</v>
      </c>
      <c r="C2">
        <f>100/(B2+1)</f>
        <v>16.666666666666668</v>
      </c>
      <c r="D2" s="6">
        <v>0.15361190610177666</v>
      </c>
      <c r="E2" s="6">
        <v>0.43494899107645313</v>
      </c>
      <c r="F2" s="6">
        <v>3.3484030066725623E-2</v>
      </c>
      <c r="G2" s="6">
        <v>0.24245079387410567</v>
      </c>
      <c r="H2" s="6">
        <v>2.3063027574563875E-2</v>
      </c>
      <c r="I2" s="6">
        <v>2.6828611624728674E-2</v>
      </c>
      <c r="J2" s="6">
        <v>1.022877642897339E-2</v>
      </c>
      <c r="K2" s="6">
        <v>2.5600289412332177E-2</v>
      </c>
      <c r="L2" s="9">
        <v>9.2853123241418128E-3</v>
      </c>
      <c r="M2" s="9">
        <v>9.6068815821207486E-3</v>
      </c>
      <c r="N2" s="9">
        <v>2.9946137149288528E-3</v>
      </c>
      <c r="O2" s="9">
        <v>7.1951121472787205E-3</v>
      </c>
      <c r="P2" s="9">
        <v>2.029905940992041E-3</v>
      </c>
      <c r="Q2" s="6">
        <v>1.9133370849746763E-2</v>
      </c>
      <c r="R2" s="6">
        <v>0</v>
      </c>
    </row>
    <row r="3" spans="1:18" x14ac:dyDescent="0.35">
      <c r="A3" s="2" t="s">
        <v>92</v>
      </c>
      <c r="B3" s="12" t="s">
        <v>59</v>
      </c>
      <c r="C3" s="2" t="s">
        <v>26</v>
      </c>
      <c r="D3">
        <f>D2*100</f>
        <v>15.361190610177665</v>
      </c>
      <c r="E3" s="11">
        <f>(E2*100)-C2</f>
        <v>26.828232440978642</v>
      </c>
      <c r="F3">
        <f t="shared" ref="F3:K3" si="0">F2*100</f>
        <v>3.3484030066725623</v>
      </c>
      <c r="G3">
        <f t="shared" si="0"/>
        <v>24.245079387410566</v>
      </c>
      <c r="H3">
        <f t="shared" si="0"/>
        <v>2.3063027574563875</v>
      </c>
      <c r="I3">
        <f t="shared" si="0"/>
        <v>2.6828611624728675</v>
      </c>
      <c r="J3">
        <f t="shared" si="0"/>
        <v>1.022877642897339</v>
      </c>
      <c r="K3">
        <f t="shared" si="0"/>
        <v>2.5600289412332176</v>
      </c>
    </row>
    <row r="4" spans="1:18" x14ac:dyDescent="0.35">
      <c r="B4" s="2"/>
      <c r="C4" s="2" t="s">
        <v>26</v>
      </c>
      <c r="D4">
        <f>D3</f>
        <v>15.361190610177665</v>
      </c>
      <c r="E4" s="11">
        <f>E3-C2</f>
        <v>10.161565774311974</v>
      </c>
      <c r="F4">
        <f t="shared" ref="F4:K5" si="1">F3</f>
        <v>3.3484030066725623</v>
      </c>
      <c r="G4">
        <f t="shared" si="1"/>
        <v>24.245079387410566</v>
      </c>
      <c r="H4">
        <f t="shared" si="1"/>
        <v>2.3063027574563875</v>
      </c>
      <c r="I4">
        <f t="shared" si="1"/>
        <v>2.6828611624728675</v>
      </c>
      <c r="J4">
        <f t="shared" si="1"/>
        <v>1.022877642897339</v>
      </c>
      <c r="K4">
        <f t="shared" si="1"/>
        <v>2.5600289412332176</v>
      </c>
    </row>
    <row r="5" spans="1:18" x14ac:dyDescent="0.35">
      <c r="B5" s="2"/>
      <c r="C5" s="2" t="s">
        <v>49</v>
      </c>
      <c r="D5">
        <f>D4</f>
        <v>15.361190610177665</v>
      </c>
      <c r="E5">
        <f t="shared" ref="E5" si="2">E4</f>
        <v>10.161565774311974</v>
      </c>
      <c r="F5">
        <f t="shared" si="1"/>
        <v>3.3484030066725623</v>
      </c>
      <c r="G5" s="11">
        <f>G4-C2</f>
        <v>7.5784127207438985</v>
      </c>
      <c r="H5">
        <f t="shared" si="1"/>
        <v>2.3063027574563875</v>
      </c>
      <c r="I5">
        <f t="shared" si="1"/>
        <v>2.6828611624728675</v>
      </c>
      <c r="J5">
        <f t="shared" si="1"/>
        <v>1.022877642897339</v>
      </c>
      <c r="K5">
        <f t="shared" si="1"/>
        <v>2.5600289412332176</v>
      </c>
    </row>
    <row r="6" spans="1:18" x14ac:dyDescent="0.35">
      <c r="B6" s="2" t="s">
        <v>52</v>
      </c>
      <c r="D6">
        <f>D5+($J5*0)</f>
        <v>15.361190610177665</v>
      </c>
      <c r="E6">
        <f t="shared" ref="E6:H6" si="3">E5+($J5*0)</f>
        <v>10.161565774311974</v>
      </c>
      <c r="F6">
        <f t="shared" si="3"/>
        <v>3.3484030066725623</v>
      </c>
      <c r="G6">
        <f>G5+($J5*0.152)</f>
        <v>7.7338901224642944</v>
      </c>
      <c r="H6">
        <f t="shared" si="3"/>
        <v>2.3063027574563875</v>
      </c>
      <c r="I6">
        <f>I5+($J5*0.3052)</f>
        <v>2.9950434190851354</v>
      </c>
      <c r="J6" s="13"/>
      <c r="K6">
        <f>K5+($J5*0.2892)</f>
        <v>2.8558451555591278</v>
      </c>
    </row>
    <row r="7" spans="1:18" x14ac:dyDescent="0.35">
      <c r="B7" s="2" t="s">
        <v>60</v>
      </c>
      <c r="D7">
        <f>D6+($H6*0)</f>
        <v>15.361190610177665</v>
      </c>
      <c r="E7">
        <f>E6+($H6*0.2754)</f>
        <v>10.796721553715463</v>
      </c>
      <c r="F7">
        <f>F6+($H6*0.0436)</f>
        <v>3.4489578068976607</v>
      </c>
      <c r="G7">
        <f>G6+($H6*0.4247)</f>
        <v>8.7133769035560213</v>
      </c>
      <c r="H7" s="13"/>
      <c r="I7">
        <f>I6+($H6*0.0179)</f>
        <v>3.0363262384436047</v>
      </c>
      <c r="J7" s="13"/>
      <c r="K7">
        <f t="shared" ref="K7" si="4">K6+($H6*0)</f>
        <v>2.8558451555591278</v>
      </c>
    </row>
    <row r="8" spans="1:18" x14ac:dyDescent="0.35">
      <c r="B8" s="2" t="s">
        <v>51</v>
      </c>
      <c r="D8">
        <f>D7+($K7*0.4066)</f>
        <v>16.522377250428008</v>
      </c>
      <c r="E8">
        <f>E7+($K7*0.0288)</f>
        <v>10.878969894195565</v>
      </c>
      <c r="F8">
        <f>F7+($K7*0.0345)</f>
        <v>3.5474844647644508</v>
      </c>
      <c r="G8">
        <f t="shared" ref="G8" si="5">G7+($K7*0)</f>
        <v>8.7133769035560213</v>
      </c>
      <c r="H8" s="13"/>
      <c r="I8">
        <f>I7+($K7*0.1298)</f>
        <v>3.4070149396351797</v>
      </c>
      <c r="J8" s="13"/>
      <c r="K8" s="13"/>
    </row>
    <row r="9" spans="1:18" x14ac:dyDescent="0.35">
      <c r="B9" s="2" t="s">
        <v>50</v>
      </c>
      <c r="D9">
        <f>D8+($I8*0.2936)</f>
        <v>17.522676836704896</v>
      </c>
      <c r="E9">
        <f t="shared" ref="E9:G9" si="6">E8+($I8*0)</f>
        <v>10.878969894195565</v>
      </c>
      <c r="F9">
        <f>F8+($I8*0.058)</f>
        <v>3.7450913312632914</v>
      </c>
      <c r="G9">
        <f t="shared" si="6"/>
        <v>8.7133769035560213</v>
      </c>
      <c r="H9" s="13"/>
      <c r="I9" s="13"/>
      <c r="J9" s="13"/>
      <c r="K9" s="13"/>
    </row>
    <row r="10" spans="1:18" x14ac:dyDescent="0.35">
      <c r="B10" s="2"/>
      <c r="C10" s="2" t="s">
        <v>56</v>
      </c>
      <c r="D10" s="11">
        <f>D9-C2</f>
        <v>0.85601017003822832</v>
      </c>
      <c r="E10">
        <f>E9</f>
        <v>10.878969894195565</v>
      </c>
      <c r="F10">
        <f t="shared" ref="F10:G10" si="7">F9</f>
        <v>3.7450913312632914</v>
      </c>
      <c r="G10">
        <f t="shared" si="7"/>
        <v>8.7133769035560213</v>
      </c>
      <c r="H10" s="13"/>
      <c r="I10" s="13"/>
      <c r="J10" s="13"/>
      <c r="K10" s="13"/>
    </row>
    <row r="11" spans="1:18" x14ac:dyDescent="0.35">
      <c r="B11" s="2" t="s">
        <v>91</v>
      </c>
      <c r="D11" s="13"/>
      <c r="E11">
        <f>E10+($D10*0.1021)</f>
        <v>10.966368532556469</v>
      </c>
      <c r="F11">
        <f>F10+($D10*0.0214)</f>
        <v>3.7634099489021096</v>
      </c>
      <c r="G11">
        <f>G10+($D10*0.2356)</f>
        <v>8.9150528996170273</v>
      </c>
      <c r="H11" s="13"/>
      <c r="I11" s="13"/>
      <c r="J11" s="13"/>
      <c r="K11" s="13"/>
    </row>
    <row r="12" spans="1:18" x14ac:dyDescent="0.35">
      <c r="B12" s="2" t="s">
        <v>54</v>
      </c>
      <c r="D12" s="13"/>
      <c r="E12">
        <f>E11+($F11*0.3462)</f>
        <v>12.26926105686638</v>
      </c>
      <c r="F12" s="13"/>
      <c r="G12">
        <f>G11+($F11*0.1365)</f>
        <v>9.428758357642165</v>
      </c>
      <c r="H12" s="13"/>
      <c r="I12" s="13"/>
      <c r="J12" s="13"/>
      <c r="K12" s="13"/>
    </row>
    <row r="13" spans="1:18" x14ac:dyDescent="0.35">
      <c r="B13" s="2"/>
      <c r="C13" s="2" t="s">
        <v>26</v>
      </c>
      <c r="D13" s="13"/>
      <c r="E13" s="11">
        <f>E12-C2</f>
        <v>-4.3974056098002876</v>
      </c>
      <c r="F13" s="13"/>
      <c r="G13">
        <f>G12</f>
        <v>9.428758357642165</v>
      </c>
      <c r="H13" s="13"/>
      <c r="I13" s="13"/>
      <c r="J13" s="13"/>
      <c r="K13" s="13"/>
    </row>
    <row r="14" spans="1:18" x14ac:dyDescent="0.35">
      <c r="B14" s="2"/>
    </row>
    <row r="16" spans="1:18" x14ac:dyDescent="0.35">
      <c r="A16" t="s">
        <v>5</v>
      </c>
      <c r="B16">
        <v>4</v>
      </c>
      <c r="C16">
        <f>100/(B16+1)</f>
        <v>20</v>
      </c>
      <c r="D16" s="6">
        <v>0.21228152156356001</v>
      </c>
      <c r="E16" s="6">
        <v>0.21221064852204813</v>
      </c>
      <c r="F16" s="6">
        <v>5.7795150218058471E-2</v>
      </c>
      <c r="G16" s="6">
        <v>0.42334190760781781</v>
      </c>
      <c r="H16" s="6">
        <v>2.6960612178969473E-2</v>
      </c>
      <c r="I16" s="6">
        <v>1.5827689387821028E-2</v>
      </c>
      <c r="J16" s="6">
        <v>1.6814440316588599E-2</v>
      </c>
      <c r="K16" s="6">
        <v>1.6417057018252301E-2</v>
      </c>
      <c r="L16" s="9">
        <v>8.6617670812469717E-3</v>
      </c>
      <c r="M16" s="9">
        <v>1.8575351316427072E-3</v>
      </c>
      <c r="N16" s="9">
        <v>2.8266838959780326E-3</v>
      </c>
      <c r="O16" s="9">
        <v>3.9169762558552736E-3</v>
      </c>
      <c r="P16" s="9">
        <v>5.4514617993862058E-4</v>
      </c>
      <c r="Q16" s="6">
        <v>5.4514617993862058E-4</v>
      </c>
      <c r="R16" s="6">
        <v>0</v>
      </c>
    </row>
    <row r="17" spans="1:18" x14ac:dyDescent="0.35">
      <c r="B17" s="10" t="s">
        <v>57</v>
      </c>
      <c r="C17" t="s">
        <v>49</v>
      </c>
      <c r="D17">
        <f>D16*100</f>
        <v>21.228152156356</v>
      </c>
      <c r="E17">
        <f t="shared" ref="E17:K17" si="8">E16*100</f>
        <v>21.221064852204812</v>
      </c>
      <c r="F17">
        <f t="shared" si="8"/>
        <v>5.7795150218058469</v>
      </c>
      <c r="G17" s="11">
        <f>(G16*100)-C16</f>
        <v>22.33419076078178</v>
      </c>
      <c r="H17">
        <f t="shared" si="8"/>
        <v>2.6960612178969474</v>
      </c>
      <c r="I17">
        <f t="shared" si="8"/>
        <v>1.5827689387821027</v>
      </c>
      <c r="J17">
        <f t="shared" si="8"/>
        <v>1.6814440316588599</v>
      </c>
      <c r="K17">
        <f t="shared" si="8"/>
        <v>1.6417057018252301</v>
      </c>
    </row>
    <row r="18" spans="1:18" x14ac:dyDescent="0.35">
      <c r="B18" s="26"/>
      <c r="C18" t="s">
        <v>49</v>
      </c>
      <c r="D18">
        <f>D17</f>
        <v>21.228152156356</v>
      </c>
      <c r="E18">
        <f t="shared" ref="E18:K20" si="9">E17</f>
        <v>21.221064852204812</v>
      </c>
      <c r="F18">
        <f t="shared" si="9"/>
        <v>5.7795150218058469</v>
      </c>
      <c r="G18" s="11">
        <f>G17-C16</f>
        <v>2.3341907607817802</v>
      </c>
      <c r="H18">
        <f t="shared" si="9"/>
        <v>2.6960612178969474</v>
      </c>
      <c r="I18">
        <f t="shared" si="9"/>
        <v>1.5827689387821027</v>
      </c>
      <c r="J18">
        <f t="shared" si="9"/>
        <v>1.6814440316588599</v>
      </c>
      <c r="K18">
        <f t="shared" si="9"/>
        <v>1.6417057018252301</v>
      </c>
    </row>
    <row r="19" spans="1:18" x14ac:dyDescent="0.35">
      <c r="B19" s="26"/>
      <c r="C19" t="s">
        <v>56</v>
      </c>
      <c r="D19" s="11">
        <f>D18-C16</f>
        <v>1.2281521563559998</v>
      </c>
      <c r="E19">
        <f t="shared" si="9"/>
        <v>21.221064852204812</v>
      </c>
      <c r="F19">
        <f t="shared" si="9"/>
        <v>5.7795150218058469</v>
      </c>
      <c r="G19">
        <f t="shared" ref="G19:G20" si="10">G18</f>
        <v>2.3341907607817802</v>
      </c>
      <c r="H19">
        <f t="shared" si="9"/>
        <v>2.6960612178969474</v>
      </c>
      <c r="I19">
        <f t="shared" si="9"/>
        <v>1.5827689387821027</v>
      </c>
      <c r="J19">
        <f t="shared" si="9"/>
        <v>1.6814440316588599</v>
      </c>
      <c r="K19">
        <f t="shared" si="9"/>
        <v>1.6417057018252301</v>
      </c>
    </row>
    <row r="20" spans="1:18" x14ac:dyDescent="0.35">
      <c r="B20" s="26"/>
      <c r="C20" t="s">
        <v>26</v>
      </c>
      <c r="D20">
        <f>D19</f>
        <v>1.2281521563559998</v>
      </c>
      <c r="E20" s="11">
        <f>E19-C16</f>
        <v>1.2210648522048118</v>
      </c>
      <c r="F20">
        <f t="shared" si="9"/>
        <v>5.7795150218058469</v>
      </c>
      <c r="G20">
        <f t="shared" si="10"/>
        <v>2.3341907607817802</v>
      </c>
      <c r="H20">
        <f t="shared" si="9"/>
        <v>2.6960612178969474</v>
      </c>
      <c r="I20">
        <f t="shared" si="9"/>
        <v>1.5827689387821027</v>
      </c>
      <c r="J20">
        <f t="shared" si="9"/>
        <v>1.6814440316588599</v>
      </c>
      <c r="K20">
        <f t="shared" si="9"/>
        <v>1.6417057018252301</v>
      </c>
    </row>
    <row r="21" spans="1:18" x14ac:dyDescent="0.35">
      <c r="B21" s="26"/>
    </row>
    <row r="22" spans="1:18" x14ac:dyDescent="0.35">
      <c r="A22" t="s">
        <v>6</v>
      </c>
      <c r="B22">
        <v>5</v>
      </c>
      <c r="C22">
        <f>100/(B22+1)</f>
        <v>16.666666666666668</v>
      </c>
      <c r="D22" s="6">
        <v>0.17889543642002656</v>
      </c>
      <c r="E22" s="6">
        <v>0.48377209127159942</v>
      </c>
      <c r="F22" s="6">
        <v>3.0009937970757641E-2</v>
      </c>
      <c r="G22" s="6">
        <v>0.16833282454585735</v>
      </c>
      <c r="H22" s="6">
        <v>1.7117352680549404E-2</v>
      </c>
      <c r="I22" s="6">
        <v>2.6642184315463006E-2</v>
      </c>
      <c r="J22" s="6">
        <v>1.468422684980062E-2</v>
      </c>
      <c r="K22" s="6">
        <v>4.485587505538325E-2</v>
      </c>
      <c r="L22" s="9">
        <v>1.648205582631812E-2</v>
      </c>
      <c r="M22" s="9">
        <v>5.1174124944616747E-3</v>
      </c>
      <c r="N22" s="9">
        <v>3.5888347363757199E-3</v>
      </c>
      <c r="O22" s="9">
        <v>8.3074878156845378E-3</v>
      </c>
      <c r="P22" s="9">
        <v>2.1931767833407176E-3</v>
      </c>
      <c r="Q22" s="6">
        <v>0</v>
      </c>
      <c r="R22" s="6">
        <v>0</v>
      </c>
    </row>
    <row r="23" spans="1:18" x14ac:dyDescent="0.35">
      <c r="A23" s="2" t="s">
        <v>93</v>
      </c>
      <c r="B23" s="12" t="s">
        <v>59</v>
      </c>
      <c r="C23" s="2" t="s">
        <v>26</v>
      </c>
      <c r="D23">
        <f>D22*100</f>
        <v>17.889543642002657</v>
      </c>
      <c r="E23" s="11">
        <f>(E22*100)-C22</f>
        <v>31.710542460493276</v>
      </c>
      <c r="F23">
        <f t="shared" ref="F23:K23" si="11">F22*100</f>
        <v>3.0009937970757643</v>
      </c>
      <c r="G23">
        <f t="shared" si="11"/>
        <v>16.833282454585735</v>
      </c>
      <c r="H23">
        <f t="shared" si="11"/>
        <v>1.7117352680549405</v>
      </c>
      <c r="I23">
        <f t="shared" si="11"/>
        <v>2.6642184315463004</v>
      </c>
      <c r="J23">
        <f t="shared" si="11"/>
        <v>1.4684226849800621</v>
      </c>
      <c r="K23">
        <f t="shared" si="11"/>
        <v>4.4855875055383247</v>
      </c>
    </row>
    <row r="24" spans="1:18" x14ac:dyDescent="0.35">
      <c r="A24" s="2"/>
      <c r="B24" s="2"/>
      <c r="C24" s="2" t="s">
        <v>26</v>
      </c>
      <c r="D24">
        <f>D23</f>
        <v>17.889543642002657</v>
      </c>
      <c r="E24" s="11">
        <f>E23-C22</f>
        <v>15.043875793826608</v>
      </c>
      <c r="F24">
        <f t="shared" ref="F24:K26" si="12">F23</f>
        <v>3.0009937970757643</v>
      </c>
      <c r="G24">
        <f t="shared" si="12"/>
        <v>16.833282454585735</v>
      </c>
      <c r="H24">
        <f t="shared" si="12"/>
        <v>1.7117352680549405</v>
      </c>
      <c r="I24">
        <f t="shared" si="12"/>
        <v>2.6642184315463004</v>
      </c>
      <c r="J24">
        <f t="shared" si="12"/>
        <v>1.4684226849800621</v>
      </c>
      <c r="K24">
        <f t="shared" si="12"/>
        <v>4.4855875055383247</v>
      </c>
    </row>
    <row r="25" spans="1:18" x14ac:dyDescent="0.35">
      <c r="A25" s="2"/>
      <c r="B25" s="2"/>
      <c r="C25" s="2" t="s">
        <v>56</v>
      </c>
      <c r="D25" s="11">
        <f>D24-C22</f>
        <v>1.2228769753359892</v>
      </c>
      <c r="E25">
        <f>E24</f>
        <v>15.043875793826608</v>
      </c>
      <c r="F25">
        <f t="shared" si="12"/>
        <v>3.0009937970757643</v>
      </c>
      <c r="G25">
        <f t="shared" si="12"/>
        <v>16.833282454585735</v>
      </c>
      <c r="H25">
        <f t="shared" si="12"/>
        <v>1.7117352680549405</v>
      </c>
      <c r="I25">
        <f t="shared" si="12"/>
        <v>2.6642184315463004</v>
      </c>
      <c r="J25">
        <f t="shared" si="12"/>
        <v>1.4684226849800621</v>
      </c>
      <c r="K25">
        <f t="shared" si="12"/>
        <v>4.4855875055383247</v>
      </c>
    </row>
    <row r="26" spans="1:18" x14ac:dyDescent="0.35">
      <c r="A26" s="2"/>
      <c r="B26" s="2"/>
      <c r="C26" s="2" t="s">
        <v>49</v>
      </c>
      <c r="D26">
        <f>D25</f>
        <v>1.2228769753359892</v>
      </c>
      <c r="E26">
        <f t="shared" ref="E26" si="13">E25</f>
        <v>15.043875793826608</v>
      </c>
      <c r="F26">
        <f t="shared" si="12"/>
        <v>3.0009937970757643</v>
      </c>
      <c r="G26" s="11">
        <f>G25-C22</f>
        <v>0.16661578791906706</v>
      </c>
      <c r="H26">
        <f t="shared" si="12"/>
        <v>1.7117352680549405</v>
      </c>
      <c r="I26">
        <f t="shared" si="12"/>
        <v>2.6642184315463004</v>
      </c>
      <c r="J26">
        <f t="shared" si="12"/>
        <v>1.4684226849800621</v>
      </c>
      <c r="K26">
        <f t="shared" si="12"/>
        <v>4.4855875055383247</v>
      </c>
    </row>
    <row r="27" spans="1:18" x14ac:dyDescent="0.35">
      <c r="A27" s="2"/>
      <c r="B27" s="2" t="s">
        <v>67</v>
      </c>
      <c r="D27">
        <f>D26+($G26*0.143)</f>
        <v>1.2467030330084157</v>
      </c>
      <c r="E27">
        <f>E26+($G26*0.4892)</f>
        <v>15.125384237276615</v>
      </c>
      <c r="F27">
        <f>F26+($G26*0.10569)</f>
        <v>3.0186034197009306</v>
      </c>
      <c r="G27" s="13"/>
      <c r="H27">
        <f>H26+($G26*0.1986)</f>
        <v>1.7448251635356673</v>
      </c>
      <c r="I27">
        <f t="shared" ref="I27:J27" si="14">I26+($G26*0.143)</f>
        <v>2.688044489218727</v>
      </c>
      <c r="J27">
        <f t="shared" si="14"/>
        <v>1.4922487426524886</v>
      </c>
      <c r="K27">
        <f>K26+($G26*0.1078)</f>
        <v>4.503548687476</v>
      </c>
    </row>
    <row r="28" spans="1:18" x14ac:dyDescent="0.35">
      <c r="A28" s="2"/>
      <c r="B28" s="2" t="s">
        <v>94</v>
      </c>
      <c r="D28" s="13"/>
      <c r="E28">
        <f>E27+($D27*0.1136)</f>
        <v>15.267009701826371</v>
      </c>
      <c r="F28">
        <f>F27+($D27*0.879)</f>
        <v>4.1144553857153277</v>
      </c>
      <c r="G28" s="13"/>
      <c r="H28">
        <f>H27+($D27*0.0652)</f>
        <v>1.8261102012878161</v>
      </c>
      <c r="I28">
        <f>I27+($D27*0.0571)</f>
        <v>2.7592312324035073</v>
      </c>
      <c r="J28">
        <f>J27+($D27*0.0498)</f>
        <v>1.5543345536963078</v>
      </c>
      <c r="K28">
        <f>K27+($D27*0.2655)</f>
        <v>4.8345483427397342</v>
      </c>
    </row>
    <row r="29" spans="1:18" x14ac:dyDescent="0.35">
      <c r="A29" s="2"/>
      <c r="B29" s="2" t="s">
        <v>52</v>
      </c>
      <c r="D29" s="13"/>
      <c r="E29">
        <f>E28+($J28*0)</f>
        <v>15.267009701826371</v>
      </c>
      <c r="F29">
        <f>F28+($J28*0)</f>
        <v>4.1144553857153277</v>
      </c>
      <c r="G29" s="13"/>
      <c r="H29">
        <f>H28+($J28*0)</f>
        <v>1.8261102012878161</v>
      </c>
      <c r="I29">
        <f>I28+($J28*0.3052)</f>
        <v>3.2336141381916206</v>
      </c>
      <c r="J29" s="13"/>
      <c r="K29">
        <f>K28+($J28*0.2892)</f>
        <v>5.2840618956687067</v>
      </c>
    </row>
    <row r="30" spans="1:18" x14ac:dyDescent="0.35">
      <c r="A30" s="2"/>
      <c r="B30" s="2" t="s">
        <v>60</v>
      </c>
      <c r="D30" s="13"/>
      <c r="E30">
        <f>E29+($H29*0.2754)</f>
        <v>15.769920451261036</v>
      </c>
      <c r="F30">
        <f>F29+($H29*0.0436)</f>
        <v>4.1940737904914762</v>
      </c>
      <c r="G30" s="13"/>
      <c r="H30" s="13"/>
      <c r="I30">
        <f>I29+($H29*0.0179)</f>
        <v>3.2663015107946727</v>
      </c>
      <c r="J30" s="13"/>
      <c r="K30">
        <f>K29+($H29*0)</f>
        <v>5.2840618956687067</v>
      </c>
    </row>
    <row r="31" spans="1:18" x14ac:dyDescent="0.35">
      <c r="A31" s="2"/>
      <c r="B31" s="2" t="s">
        <v>50</v>
      </c>
      <c r="D31" s="13"/>
      <c r="E31">
        <f>E30+($I30*0)</f>
        <v>15.769920451261036</v>
      </c>
      <c r="F31">
        <f>F30+($I30*0.058)</f>
        <v>4.3835192781175669</v>
      </c>
      <c r="G31" s="13"/>
      <c r="H31" s="13"/>
      <c r="I31" s="13"/>
      <c r="J31" s="13"/>
      <c r="K31">
        <f>K30+($I30*0.1386)</f>
        <v>5.7367712850648482</v>
      </c>
    </row>
    <row r="32" spans="1:18" x14ac:dyDescent="0.35">
      <c r="A32" s="2"/>
      <c r="B32" s="2" t="s">
        <v>54</v>
      </c>
      <c r="D32" s="13"/>
      <c r="E32">
        <f>E31+($F31*0.3462)</f>
        <v>17.287494825345338</v>
      </c>
      <c r="F32" s="13"/>
      <c r="G32" s="13"/>
      <c r="H32" s="13"/>
      <c r="I32" s="13"/>
      <c r="J32" s="13"/>
      <c r="K32">
        <f>K31+($F31*0.0113)</f>
        <v>5.7863050529075766</v>
      </c>
    </row>
    <row r="33" spans="1:18" x14ac:dyDescent="0.35">
      <c r="A33" s="2"/>
      <c r="B33" s="2"/>
      <c r="C33" s="2" t="s">
        <v>26</v>
      </c>
      <c r="D33" s="13"/>
      <c r="E33" s="11">
        <f>E32-C22</f>
        <v>0.62082815867866969</v>
      </c>
      <c r="F33" s="13"/>
      <c r="G33" s="13"/>
      <c r="H33" s="13"/>
      <c r="I33" s="13"/>
      <c r="J33" s="13"/>
      <c r="K33">
        <f>K32</f>
        <v>5.7863050529075766</v>
      </c>
    </row>
    <row r="34" spans="1:18" x14ac:dyDescent="0.35">
      <c r="B34" s="2"/>
    </row>
    <row r="35" spans="1:18" x14ac:dyDescent="0.35">
      <c r="A35" t="s">
        <v>7</v>
      </c>
      <c r="B35">
        <v>4</v>
      </c>
      <c r="C35">
        <f>100/(B35+1)</f>
        <v>20</v>
      </c>
      <c r="D35" s="6">
        <v>0.36336639757997857</v>
      </c>
      <c r="E35" s="6">
        <v>0.2208423925851668</v>
      </c>
      <c r="F35" s="6">
        <v>0.15486988163703194</v>
      </c>
      <c r="G35" s="6">
        <v>0.11733119295098401</v>
      </c>
      <c r="H35" s="6">
        <v>3.1940496667194292E-2</v>
      </c>
      <c r="I35" s="6">
        <v>1.9348690620658117E-2</v>
      </c>
      <c r="J35" s="6">
        <v>9.6149246381399614E-3</v>
      </c>
      <c r="K35" s="6">
        <v>6.494136020682742E-2</v>
      </c>
      <c r="L35" s="9">
        <v>3.2009004731001251E-3</v>
      </c>
      <c r="M35" s="9">
        <v>1.8818480803390843E-3</v>
      </c>
      <c r="N35" s="9">
        <v>2.1984206546017339E-3</v>
      </c>
      <c r="O35" s="9">
        <v>4.5199528658611656E-3</v>
      </c>
      <c r="P35" s="9">
        <v>1.0552419142088323E-3</v>
      </c>
      <c r="Q35" s="6">
        <v>0</v>
      </c>
      <c r="R35" s="6">
        <v>4.8365254401238154E-3</v>
      </c>
    </row>
    <row r="36" spans="1:18" x14ac:dyDescent="0.35">
      <c r="A36" t="s">
        <v>58</v>
      </c>
      <c r="B36" s="10" t="s">
        <v>57</v>
      </c>
      <c r="C36" t="s">
        <v>56</v>
      </c>
      <c r="D36" s="11">
        <f>(D35*100)-C35</f>
        <v>16.336639757997858</v>
      </c>
      <c r="E36">
        <f t="shared" ref="E36:K36" si="15">E35*100</f>
        <v>22.084239258516682</v>
      </c>
      <c r="F36">
        <f t="shared" si="15"/>
        <v>15.486988163703193</v>
      </c>
      <c r="G36">
        <f t="shared" si="15"/>
        <v>11.733119295098401</v>
      </c>
      <c r="H36">
        <f t="shared" si="15"/>
        <v>3.1940496667194291</v>
      </c>
      <c r="I36">
        <f t="shared" si="15"/>
        <v>1.9348690620658118</v>
      </c>
      <c r="J36">
        <f t="shared" si="15"/>
        <v>0.96149246381399611</v>
      </c>
      <c r="K36">
        <f t="shared" si="15"/>
        <v>6.4941360206827419</v>
      </c>
    </row>
    <row r="37" spans="1:18" x14ac:dyDescent="0.35">
      <c r="B37" s="26"/>
      <c r="C37" t="s">
        <v>26</v>
      </c>
      <c r="D37">
        <f>D36</f>
        <v>16.336639757997858</v>
      </c>
      <c r="E37" s="11">
        <f>E36-C35</f>
        <v>2.084239258516682</v>
      </c>
      <c r="F37">
        <f t="shared" ref="F37:K37" si="16">F36</f>
        <v>15.486988163703193</v>
      </c>
      <c r="G37">
        <f t="shared" si="16"/>
        <v>11.733119295098401</v>
      </c>
      <c r="H37">
        <f t="shared" si="16"/>
        <v>3.1940496667194291</v>
      </c>
      <c r="I37">
        <f t="shared" si="16"/>
        <v>1.9348690620658118</v>
      </c>
      <c r="J37">
        <f t="shared" si="16"/>
        <v>0.96149246381399611</v>
      </c>
      <c r="K37">
        <f t="shared" si="16"/>
        <v>6.4941360206827419</v>
      </c>
    </row>
    <row r="38" spans="1:18" x14ac:dyDescent="0.35">
      <c r="B38" s="26" t="s">
        <v>71</v>
      </c>
      <c r="D38">
        <f>D37+($J37*0)</f>
        <v>16.336639757997858</v>
      </c>
      <c r="E38">
        <f t="shared" ref="E38:H38" si="17">E37+($J37*0)</f>
        <v>2.084239258516682</v>
      </c>
      <c r="F38">
        <f t="shared" si="17"/>
        <v>15.486988163703193</v>
      </c>
      <c r="G38">
        <f>G37+($J37*0.152)</f>
        <v>11.879266149598129</v>
      </c>
      <c r="H38">
        <f t="shared" si="17"/>
        <v>3.1940496667194291</v>
      </c>
      <c r="I38">
        <f>I37+($J37*0.3052)</f>
        <v>2.2283165620218433</v>
      </c>
      <c r="J38" s="13"/>
      <c r="K38">
        <f>K37+($J37*0.2892)</f>
        <v>6.7721996412177496</v>
      </c>
    </row>
    <row r="39" spans="1:18" x14ac:dyDescent="0.35">
      <c r="B39" s="26" t="s">
        <v>121</v>
      </c>
      <c r="D39">
        <f>D38+($E38*0.043)</f>
        <v>16.426262046114076</v>
      </c>
      <c r="E39" s="13"/>
      <c r="F39">
        <f>F38+($E38*0.173)</f>
        <v>15.84756155542658</v>
      </c>
      <c r="G39">
        <f>G38+($E38*0.3574)</f>
        <v>12.624173260591991</v>
      </c>
      <c r="H39">
        <f>H38+($E38*0.1368)</f>
        <v>3.479173597284511</v>
      </c>
      <c r="I39">
        <f t="shared" ref="I39" si="18">I38+($E38*0)</f>
        <v>2.2283165620218433</v>
      </c>
      <c r="J39" s="13"/>
      <c r="K39">
        <f>K38+($E38*0.0365)</f>
        <v>6.8482743741536085</v>
      </c>
    </row>
    <row r="40" spans="1:18" x14ac:dyDescent="0.35">
      <c r="B40" s="26" t="s">
        <v>79</v>
      </c>
      <c r="D40">
        <f>D39+($I39*0.2936)</f>
        <v>17.080495788723688</v>
      </c>
      <c r="E40" s="13"/>
      <c r="F40">
        <f>F39+($I39*0.058)</f>
        <v>15.976803916023847</v>
      </c>
      <c r="G40">
        <f>G39+($I39*0)</f>
        <v>12.624173260591991</v>
      </c>
      <c r="H40">
        <f>H39+($I39*0.0726)</f>
        <v>3.6409493796872967</v>
      </c>
      <c r="I40" s="13"/>
      <c r="J40" s="13"/>
      <c r="K40">
        <f>K39+($I39*0.1386)</f>
        <v>7.157119049649836</v>
      </c>
    </row>
    <row r="41" spans="1:18" x14ac:dyDescent="0.35">
      <c r="B41" s="26" t="s">
        <v>100</v>
      </c>
      <c r="D41">
        <f>D40+($H40*0)</f>
        <v>17.080495788723688</v>
      </c>
      <c r="E41" s="13"/>
      <c r="F41">
        <f>F40+($H40*0.0436)</f>
        <v>16.135549308978213</v>
      </c>
      <c r="G41">
        <f>G40+($H40*0.4247)</f>
        <v>14.170484462145186</v>
      </c>
      <c r="H41" s="13"/>
      <c r="I41" s="13"/>
      <c r="J41" s="13"/>
      <c r="K41">
        <f>K40+($H40*0)</f>
        <v>7.157119049649836</v>
      </c>
    </row>
    <row r="42" spans="1:18" x14ac:dyDescent="0.35">
      <c r="B42" s="26" t="s">
        <v>117</v>
      </c>
      <c r="D42">
        <f>D41+($K41*0.4066)</f>
        <v>19.990580394311312</v>
      </c>
      <c r="E42" s="13"/>
      <c r="F42">
        <f>F41+($K41*0.0345)</f>
        <v>16.382469916191134</v>
      </c>
      <c r="G42">
        <f>G41+($K41*0)</f>
        <v>14.170484462145186</v>
      </c>
      <c r="H42" s="13"/>
      <c r="I42" s="13"/>
      <c r="J42" s="13"/>
    </row>
    <row r="43" spans="1:18" x14ac:dyDescent="0.35">
      <c r="B43" s="26" t="s">
        <v>122</v>
      </c>
      <c r="D43">
        <f>D42+($G42*0.1149)</f>
        <v>21.618769059011793</v>
      </c>
      <c r="E43" s="13"/>
      <c r="F43">
        <f>F42+($G42*0.0593)</f>
        <v>17.222779644796343</v>
      </c>
      <c r="G43" s="13"/>
      <c r="H43" s="13"/>
      <c r="I43" s="13"/>
      <c r="J43" s="13"/>
    </row>
    <row r="44" spans="1:18" x14ac:dyDescent="0.35">
      <c r="B44" s="26"/>
      <c r="C44" t="s">
        <v>56</v>
      </c>
      <c r="D44" s="11">
        <f>D43-C35</f>
        <v>1.6187690590117931</v>
      </c>
      <c r="E44" s="13"/>
      <c r="F44">
        <f>F43</f>
        <v>17.222779644796343</v>
      </c>
      <c r="G44" s="13"/>
      <c r="H44" s="13"/>
      <c r="I44" s="13"/>
      <c r="J44" s="13"/>
    </row>
    <row r="45" spans="1:18" x14ac:dyDescent="0.35">
      <c r="B45" s="26" t="s">
        <v>123</v>
      </c>
      <c r="D45" s="13"/>
      <c r="E45" s="13"/>
      <c r="F45">
        <f>F44+(D44*0.1277)</f>
        <v>17.429496453632151</v>
      </c>
      <c r="G45" s="13"/>
      <c r="H45" s="13"/>
      <c r="I45" s="13"/>
      <c r="J45" s="13"/>
    </row>
    <row r="46" spans="1:18" x14ac:dyDescent="0.35">
      <c r="B46" s="26"/>
      <c r="C46" t="s">
        <v>27</v>
      </c>
      <c r="D46" s="13"/>
      <c r="E46" s="13"/>
      <c r="F46" s="11">
        <f>F45-C35</f>
        <v>-2.5705035463678492</v>
      </c>
      <c r="G46" s="13"/>
      <c r="H46" s="13"/>
      <c r="I46" s="13"/>
      <c r="J46" s="13"/>
    </row>
    <row r="48" spans="1:18" x14ac:dyDescent="0.35">
      <c r="A48" s="2" t="s">
        <v>8</v>
      </c>
      <c r="B48">
        <v>6</v>
      </c>
      <c r="C48">
        <f>100/(B48+1)</f>
        <v>14.285714285714286</v>
      </c>
      <c r="D48" s="6">
        <v>0.32240963982301885</v>
      </c>
      <c r="E48" s="6">
        <v>0.37538146660721911</v>
      </c>
      <c r="F48" s="6">
        <v>4.4216682015238942E-2</v>
      </c>
      <c r="G48" s="6">
        <v>0.11760956319739316</v>
      </c>
      <c r="H48" s="6">
        <v>2.9298560461217232E-2</v>
      </c>
      <c r="I48" s="6">
        <v>2.5427518740081104E-2</v>
      </c>
      <c r="J48" s="6">
        <v>8.2317795923689142E-3</v>
      </c>
      <c r="K48" s="6">
        <v>3.8187453462158523E-2</v>
      </c>
      <c r="L48" s="9">
        <v>5.9470299426042459E-3</v>
      </c>
      <c r="M48" s="9">
        <v>9.2248115621326333E-3</v>
      </c>
      <c r="N48" s="9">
        <v>1.8255998893575824E-3</v>
      </c>
      <c r="O48" s="9">
        <v>4.6884724431228821E-3</v>
      </c>
      <c r="P48" s="9">
        <v>1.2032362907129521E-3</v>
      </c>
      <c r="Q48" s="9">
        <v>1.3332411313187194E-2</v>
      </c>
      <c r="R48" s="9">
        <v>1.2032362907129521E-3</v>
      </c>
    </row>
    <row r="49" spans="1:18" x14ac:dyDescent="0.35">
      <c r="A49" s="2" t="s">
        <v>63</v>
      </c>
      <c r="B49" s="12" t="s">
        <v>59</v>
      </c>
      <c r="C49" s="2" t="s">
        <v>26</v>
      </c>
      <c r="D49">
        <f>D48*100</f>
        <v>32.240963982301885</v>
      </c>
      <c r="E49" s="11">
        <f>(E48*100)-C48</f>
        <v>23.252432375007629</v>
      </c>
      <c r="F49">
        <f t="shared" ref="F49:K49" si="19">F48*100</f>
        <v>4.4216682015238939</v>
      </c>
      <c r="G49">
        <f t="shared" si="19"/>
        <v>11.760956319739316</v>
      </c>
      <c r="H49">
        <f t="shared" si="19"/>
        <v>2.9298560461217233</v>
      </c>
      <c r="I49">
        <f t="shared" si="19"/>
        <v>2.5427518740081103</v>
      </c>
      <c r="J49">
        <f t="shared" si="19"/>
        <v>0.82317795923689141</v>
      </c>
      <c r="K49">
        <f t="shared" si="19"/>
        <v>3.8187453462158523</v>
      </c>
    </row>
    <row r="50" spans="1:18" x14ac:dyDescent="0.35">
      <c r="C50" s="2" t="s">
        <v>56</v>
      </c>
      <c r="D50" s="11">
        <f>D49-C48</f>
        <v>17.9552496965876</v>
      </c>
      <c r="E50">
        <f t="shared" ref="E50:K52" si="20">E49</f>
        <v>23.252432375007629</v>
      </c>
      <c r="F50">
        <f t="shared" si="20"/>
        <v>4.4216682015238939</v>
      </c>
      <c r="G50">
        <f t="shared" si="20"/>
        <v>11.760956319739316</v>
      </c>
      <c r="H50">
        <f t="shared" si="20"/>
        <v>2.9298560461217233</v>
      </c>
      <c r="I50">
        <f t="shared" si="20"/>
        <v>2.5427518740081103</v>
      </c>
      <c r="J50">
        <f t="shared" si="20"/>
        <v>0.82317795923689141</v>
      </c>
      <c r="K50">
        <f t="shared" si="20"/>
        <v>3.8187453462158523</v>
      </c>
    </row>
    <row r="51" spans="1:18" x14ac:dyDescent="0.35">
      <c r="C51" s="2" t="s">
        <v>26</v>
      </c>
      <c r="D51">
        <f>D50</f>
        <v>17.9552496965876</v>
      </c>
      <c r="E51" s="11">
        <f>E50-C48</f>
        <v>8.9667180892933427</v>
      </c>
      <c r="F51">
        <f t="shared" si="20"/>
        <v>4.4216682015238939</v>
      </c>
      <c r="G51">
        <f t="shared" si="20"/>
        <v>11.760956319739316</v>
      </c>
      <c r="H51">
        <f t="shared" si="20"/>
        <v>2.9298560461217233</v>
      </c>
      <c r="I51">
        <f t="shared" si="20"/>
        <v>2.5427518740081103</v>
      </c>
      <c r="J51">
        <f t="shared" si="20"/>
        <v>0.82317795923689141</v>
      </c>
      <c r="K51">
        <f t="shared" si="20"/>
        <v>3.8187453462158523</v>
      </c>
    </row>
    <row r="52" spans="1:18" x14ac:dyDescent="0.35">
      <c r="C52" s="2" t="s">
        <v>56</v>
      </c>
      <c r="D52" s="11">
        <f>D51-C48</f>
        <v>3.6695354108733138</v>
      </c>
      <c r="E52">
        <f>E51</f>
        <v>8.9667180892933427</v>
      </c>
      <c r="F52">
        <f t="shared" si="20"/>
        <v>4.4216682015238939</v>
      </c>
      <c r="G52">
        <f t="shared" si="20"/>
        <v>11.760956319739316</v>
      </c>
      <c r="H52">
        <f t="shared" si="20"/>
        <v>2.9298560461217233</v>
      </c>
      <c r="I52">
        <f t="shared" si="20"/>
        <v>2.5427518740081103</v>
      </c>
      <c r="J52">
        <f t="shared" si="20"/>
        <v>0.82317795923689141</v>
      </c>
      <c r="K52">
        <f t="shared" si="20"/>
        <v>3.8187453462158523</v>
      </c>
    </row>
    <row r="53" spans="1:18" x14ac:dyDescent="0.35">
      <c r="B53" s="2" t="s">
        <v>52</v>
      </c>
      <c r="D53">
        <f>D52+($J52*0)</f>
        <v>3.6695354108733138</v>
      </c>
      <c r="E53">
        <f>E52+($J52*0)</f>
        <v>8.9667180892933427</v>
      </c>
      <c r="F53">
        <f>F52+($J52*0)</f>
        <v>4.4216682015238939</v>
      </c>
      <c r="G53">
        <f>G52+($J52*0.152)</f>
        <v>11.886079369543324</v>
      </c>
      <c r="H53">
        <f>H52+($J52*0)</f>
        <v>2.9298560461217233</v>
      </c>
      <c r="I53">
        <f>I52+($J52*0.3052)</f>
        <v>2.7939857871672098</v>
      </c>
      <c r="J53" s="13"/>
      <c r="K53">
        <f>K52+($J52*0.2892)</f>
        <v>4.056808412027161</v>
      </c>
    </row>
    <row r="54" spans="1:18" x14ac:dyDescent="0.35">
      <c r="B54" s="2" t="s">
        <v>50</v>
      </c>
      <c r="D54">
        <f>D53+($I53*0.2936)</f>
        <v>4.489849637985607</v>
      </c>
      <c r="E54">
        <f t="shared" ref="E54:G54" si="21">E53+($I53*0)</f>
        <v>8.9667180892933427</v>
      </c>
      <c r="F54">
        <f>F53+($I53*0.058)</f>
        <v>4.5837193771795919</v>
      </c>
      <c r="G54">
        <f t="shared" si="21"/>
        <v>11.886079369543324</v>
      </c>
      <c r="H54">
        <f>H53+($I53*0.0726)</f>
        <v>3.1326994142700628</v>
      </c>
      <c r="I54" s="13"/>
      <c r="J54" s="13"/>
      <c r="K54">
        <f>K53+($I53*0.1386)</f>
        <v>4.4440548421285362</v>
      </c>
    </row>
    <row r="55" spans="1:18" x14ac:dyDescent="0.35">
      <c r="B55" s="2" t="s">
        <v>64</v>
      </c>
      <c r="D55">
        <f>D54+($H54*0)</f>
        <v>4.489849637985607</v>
      </c>
      <c r="E55">
        <f>E54+($H54*0.2754)</f>
        <v>9.8294635079833181</v>
      </c>
      <c r="F55">
        <f>F54+($H54*0.0436)</f>
        <v>4.7203050716417669</v>
      </c>
      <c r="G55">
        <f>G54+($H54*0.4247)</f>
        <v>13.21653681078382</v>
      </c>
      <c r="H55" s="13"/>
      <c r="I55" s="13"/>
      <c r="J55" s="13"/>
      <c r="K55">
        <f t="shared" ref="K55" si="22">K54+($H54*0)</f>
        <v>4.4440548421285362</v>
      </c>
    </row>
    <row r="56" spans="1:18" x14ac:dyDescent="0.35">
      <c r="B56" s="2" t="s">
        <v>51</v>
      </c>
      <c r="D56">
        <f>D55+($K55*0.4066)</f>
        <v>6.2968023367950696</v>
      </c>
      <c r="E56">
        <f>E55+($K55*0.0288)</f>
        <v>9.9574522874366203</v>
      </c>
      <c r="F56">
        <f>F55+($K55*0.0345)</f>
        <v>4.8736249636952014</v>
      </c>
      <c r="G56">
        <f t="shared" ref="G56" si="23">G55+($K55*0)</f>
        <v>13.21653681078382</v>
      </c>
      <c r="H56" s="13"/>
      <c r="I56" s="13"/>
      <c r="J56" s="13"/>
      <c r="K56" s="13"/>
    </row>
    <row r="57" spans="1:18" x14ac:dyDescent="0.35">
      <c r="B57" s="2" t="s">
        <v>54</v>
      </c>
      <c r="D57">
        <f>D56+($F56*0.0411)</f>
        <v>6.4971083228029425</v>
      </c>
      <c r="E57">
        <f>E56+($F56*0.3462)</f>
        <v>11.644701249867898</v>
      </c>
      <c r="F57" s="13"/>
      <c r="G57">
        <f>G56+($F56*0.1365)</f>
        <v>13.881786618328215</v>
      </c>
      <c r="H57" s="13"/>
      <c r="I57" s="13"/>
      <c r="J57" s="13"/>
      <c r="K57" s="13"/>
    </row>
    <row r="58" spans="1:18" x14ac:dyDescent="0.35">
      <c r="B58" s="2" t="s">
        <v>65</v>
      </c>
      <c r="D58" s="13"/>
      <c r="E58">
        <f>E57+($D57*((0.0985+0.1021)/2))</f>
        <v>12.296361214645033</v>
      </c>
      <c r="F58" s="13"/>
      <c r="G58">
        <f>G57+($D57*((0.2051+0.2356)/2))</f>
        <v>15.313424437257844</v>
      </c>
      <c r="H58" s="13"/>
      <c r="I58" s="13"/>
      <c r="J58" s="13"/>
      <c r="K58" s="13"/>
    </row>
    <row r="59" spans="1:18" x14ac:dyDescent="0.35">
      <c r="B59" s="2"/>
      <c r="C59" s="2" t="s">
        <v>49</v>
      </c>
      <c r="D59" s="13"/>
      <c r="E59">
        <f>E58</f>
        <v>12.296361214645033</v>
      </c>
      <c r="F59" s="13"/>
      <c r="G59" s="11">
        <f>G58-C48</f>
        <v>1.0277101515435572</v>
      </c>
      <c r="H59" s="13"/>
      <c r="I59" s="13"/>
      <c r="J59" s="13"/>
      <c r="K59" s="13"/>
    </row>
    <row r="60" spans="1:18" x14ac:dyDescent="0.35">
      <c r="C60" s="2" t="s">
        <v>26</v>
      </c>
      <c r="D60" s="13"/>
      <c r="E60" s="11">
        <f>E59-C48</f>
        <v>-1.9893530710692531</v>
      </c>
      <c r="F60" s="13"/>
      <c r="G60">
        <f>G59</f>
        <v>1.0277101515435572</v>
      </c>
      <c r="H60" s="13"/>
      <c r="I60" s="13"/>
      <c r="J60" s="13"/>
      <c r="K60" s="13"/>
    </row>
    <row r="63" spans="1:18" x14ac:dyDescent="0.35">
      <c r="A63" t="s">
        <v>9</v>
      </c>
      <c r="B63">
        <v>5</v>
      </c>
      <c r="C63">
        <v>16.666666666666668</v>
      </c>
      <c r="D63" s="6">
        <v>0.16457750688320499</v>
      </c>
      <c r="E63" s="6">
        <v>0.47849319061489964</v>
      </c>
      <c r="F63" s="6">
        <v>2.8784070867084316E-2</v>
      </c>
      <c r="G63" s="6">
        <v>0.22309136706436297</v>
      </c>
      <c r="H63" s="6">
        <v>1.6250217469374727E-2</v>
      </c>
      <c r="I63" s="6">
        <v>2.0278791748134552E-2</v>
      </c>
      <c r="J63" s="6">
        <v>1.1210715853317902E-2</v>
      </c>
      <c r="K63" s="6">
        <v>3.1318045967838472E-2</v>
      </c>
      <c r="L63" s="9">
        <v>8.1800407006903161E-3</v>
      </c>
      <c r="M63" s="9">
        <v>4.7484138701568172E-3</v>
      </c>
      <c r="N63" s="9">
        <v>3.4515781493156699E-3</v>
      </c>
      <c r="O63" s="9">
        <v>7.3221339930569411E-3</v>
      </c>
      <c r="P63" s="9">
        <v>2.2944016599497226E-3</v>
      </c>
      <c r="Q63">
        <v>0</v>
      </c>
      <c r="R63">
        <v>0</v>
      </c>
    </row>
    <row r="64" spans="1:18" x14ac:dyDescent="0.35">
      <c r="A64" s="2" t="s">
        <v>66</v>
      </c>
      <c r="B64" s="10" t="s">
        <v>57</v>
      </c>
      <c r="C64" t="s">
        <v>26</v>
      </c>
      <c r="D64">
        <v>16.46</v>
      </c>
      <c r="E64" s="11">
        <f>47.85-C63</f>
        <v>31.183333333333334</v>
      </c>
      <c r="F64">
        <v>2.88</v>
      </c>
      <c r="G64">
        <v>22.31</v>
      </c>
      <c r="H64">
        <v>1.63</v>
      </c>
      <c r="I64">
        <v>2.0299999999999998</v>
      </c>
      <c r="J64">
        <v>1.1200000000000001</v>
      </c>
      <c r="K64">
        <v>3.13</v>
      </c>
      <c r="L64" s="8">
        <v>0.82</v>
      </c>
      <c r="M64" s="8">
        <v>0.47</v>
      </c>
      <c r="N64" s="8">
        <v>0.35</v>
      </c>
      <c r="O64" s="8">
        <v>0.73</v>
      </c>
      <c r="P64" s="8">
        <v>0.23</v>
      </c>
    </row>
    <row r="65" spans="1:18" x14ac:dyDescent="0.35">
      <c r="C65" s="2" t="s">
        <v>26</v>
      </c>
      <c r="D65">
        <v>16.46</v>
      </c>
      <c r="E65" s="11">
        <f>E64-C63</f>
        <v>14.516666666666666</v>
      </c>
      <c r="F65">
        <v>2.88</v>
      </c>
      <c r="G65">
        <v>22.31</v>
      </c>
      <c r="H65">
        <v>1.63</v>
      </c>
      <c r="I65">
        <v>2.0299999999999998</v>
      </c>
      <c r="J65">
        <v>1.1200000000000001</v>
      </c>
      <c r="K65">
        <v>3.13</v>
      </c>
      <c r="L65" s="8">
        <v>0.82</v>
      </c>
      <c r="M65" s="8">
        <v>0.47</v>
      </c>
      <c r="N65" s="8">
        <v>0.35</v>
      </c>
      <c r="O65" s="8">
        <v>0.73</v>
      </c>
      <c r="P65" s="8">
        <v>0.23</v>
      </c>
    </row>
    <row r="66" spans="1:18" x14ac:dyDescent="0.35">
      <c r="C66" s="2" t="s">
        <v>49</v>
      </c>
      <c r="D66">
        <v>16.46</v>
      </c>
      <c r="E66">
        <f>E65</f>
        <v>14.516666666666666</v>
      </c>
      <c r="F66">
        <v>2.88</v>
      </c>
      <c r="G66" s="11">
        <f>22.31-C63</f>
        <v>5.6433333333333309</v>
      </c>
      <c r="H66">
        <v>1.63</v>
      </c>
      <c r="I66">
        <v>2.0299999999999998</v>
      </c>
      <c r="J66">
        <v>1.1200000000000001</v>
      </c>
      <c r="K66">
        <v>3.13</v>
      </c>
      <c r="L66" s="8">
        <v>0.82</v>
      </c>
      <c r="M66" s="8">
        <v>0.47</v>
      </c>
      <c r="N66" s="8">
        <v>0.35</v>
      </c>
      <c r="O66" s="8">
        <v>0.73</v>
      </c>
      <c r="P66" s="8">
        <v>0.23</v>
      </c>
    </row>
    <row r="67" spans="1:18" x14ac:dyDescent="0.35">
      <c r="B67" s="2" t="s">
        <v>71</v>
      </c>
      <c r="C67" s="2"/>
      <c r="D67">
        <f>D66+(1.12*0)</f>
        <v>16.46</v>
      </c>
      <c r="E67">
        <f t="shared" ref="E67:F67" si="24">E66+(1.12*0)</f>
        <v>14.516666666666666</v>
      </c>
      <c r="F67">
        <f t="shared" si="24"/>
        <v>2.88</v>
      </c>
      <c r="G67">
        <f>G66+(1.12*0.152)</f>
        <v>5.8135733333333306</v>
      </c>
      <c r="H67">
        <f t="shared" ref="H67" si="25">H66+(1.12*0)</f>
        <v>1.63</v>
      </c>
      <c r="I67">
        <f>I66+(1.12*0.3052)</f>
        <v>2.3718239999999997</v>
      </c>
      <c r="J67" s="13"/>
      <c r="K67">
        <f>K66+(1.12*0.2892)</f>
        <v>3.4539040000000001</v>
      </c>
    </row>
    <row r="68" spans="1:18" x14ac:dyDescent="0.35">
      <c r="B68" s="2" t="s">
        <v>95</v>
      </c>
      <c r="D68">
        <f>D67+(1.63*0)</f>
        <v>16.46</v>
      </c>
      <c r="E68">
        <f>E67+(1.63*0.2754)</f>
        <v>14.965568666666666</v>
      </c>
      <c r="F68">
        <f>F67+(1.63*0.0436)</f>
        <v>2.9510679999999998</v>
      </c>
      <c r="G68">
        <f>G67+(1.63*0.4247)</f>
        <v>6.5058343333333308</v>
      </c>
      <c r="H68" s="13"/>
      <c r="I68">
        <f>I67+(1.63*0.0179)</f>
        <v>2.4010009999999995</v>
      </c>
      <c r="J68" s="13"/>
      <c r="K68">
        <f t="shared" ref="K68" si="26">K67+(1.63*0)</f>
        <v>3.4539040000000001</v>
      </c>
    </row>
    <row r="69" spans="1:18" x14ac:dyDescent="0.35">
      <c r="B69" s="2" t="s">
        <v>79</v>
      </c>
      <c r="D69" s="11">
        <f>D68+($I68*0.2936)</f>
        <v>17.164933893600001</v>
      </c>
      <c r="E69">
        <f t="shared" ref="E69:G69" si="27">E68+($I68*0)</f>
        <v>14.965568666666666</v>
      </c>
      <c r="F69">
        <f>F68+($I68*0.058)</f>
        <v>3.0903260579999996</v>
      </c>
      <c r="G69">
        <f t="shared" si="27"/>
        <v>6.5058343333333308</v>
      </c>
      <c r="H69" s="13"/>
      <c r="I69" s="13"/>
      <c r="J69" s="13"/>
      <c r="K69">
        <f>K68+($I68*0.1386)</f>
        <v>3.7866827386000002</v>
      </c>
    </row>
    <row r="70" spans="1:18" x14ac:dyDescent="0.35">
      <c r="C70" s="2" t="s">
        <v>56</v>
      </c>
      <c r="D70">
        <f>D69-C63</f>
        <v>0.49826722693333281</v>
      </c>
      <c r="E70">
        <v>14.965568666666666</v>
      </c>
      <c r="F70">
        <v>3.0903260579999996</v>
      </c>
      <c r="G70">
        <v>6.5058343333333308</v>
      </c>
      <c r="H70" s="13"/>
      <c r="I70" s="13"/>
      <c r="J70" s="13"/>
      <c r="K70">
        <v>3.7866827386000002</v>
      </c>
    </row>
    <row r="71" spans="1:18" x14ac:dyDescent="0.35">
      <c r="B71" s="2" t="s">
        <v>96</v>
      </c>
      <c r="D71" s="13"/>
      <c r="E71">
        <f>E70+($D70*0.1136)</f>
        <v>15.022171823646293</v>
      </c>
      <c r="F71">
        <f>F70+($D70*0.879)</f>
        <v>3.5283029504743992</v>
      </c>
      <c r="G71">
        <f>G70+($D70*0.1648)</f>
        <v>6.5879487723319441</v>
      </c>
      <c r="H71" s="13"/>
      <c r="I71" s="13"/>
      <c r="J71" s="13"/>
      <c r="K71">
        <f>K70+($D70*0.2655)</f>
        <v>3.9189726873508</v>
      </c>
    </row>
    <row r="72" spans="1:18" x14ac:dyDescent="0.35">
      <c r="B72" t="s">
        <v>85</v>
      </c>
      <c r="D72" s="13"/>
      <c r="E72">
        <f>E71+(F71*0.3462)</f>
        <v>16.24367030510053</v>
      </c>
      <c r="F72" s="13"/>
      <c r="G72">
        <f>G71+(F71*0.1365)</f>
        <v>7.0695621250717</v>
      </c>
      <c r="H72" s="13"/>
      <c r="I72" s="13"/>
      <c r="J72" s="13"/>
      <c r="K72">
        <f>K71+(F71*0.0113)</f>
        <v>3.9588425106911607</v>
      </c>
    </row>
    <row r="73" spans="1:18" x14ac:dyDescent="0.35">
      <c r="B73" t="s">
        <v>97</v>
      </c>
      <c r="C73" s="2" t="s">
        <v>26</v>
      </c>
      <c r="D73" s="13"/>
      <c r="E73" s="11">
        <f>E72+(K72*0.0288)</f>
        <v>16.357684969408435</v>
      </c>
      <c r="F73" s="13"/>
      <c r="G73">
        <f>G72+(K72*0)</f>
        <v>7.0695621250717</v>
      </c>
      <c r="H73" s="13"/>
      <c r="I73" s="13"/>
      <c r="J73" s="13"/>
      <c r="K73" s="13"/>
    </row>
    <row r="76" spans="1:18" x14ac:dyDescent="0.35">
      <c r="A76" t="s">
        <v>10</v>
      </c>
      <c r="B76">
        <v>6</v>
      </c>
      <c r="C76">
        <f>100/(B76+1)</f>
        <v>14.285714285714286</v>
      </c>
      <c r="D76" s="6">
        <v>0.19534792364832501</v>
      </c>
      <c r="E76" s="6">
        <v>0.42444355782743698</v>
      </c>
      <c r="F76" s="6">
        <v>0.114339798928235</v>
      </c>
      <c r="G76" s="6">
        <v>0.13229112319120401</v>
      </c>
      <c r="H76" s="6">
        <v>5.3474450604605199E-2</v>
      </c>
      <c r="I76" s="6">
        <v>1.3894346207897699E-2</v>
      </c>
      <c r="J76" s="6">
        <v>6.6210291415069603E-3</v>
      </c>
      <c r="K76" s="6">
        <v>2.6371882383827799E-2</v>
      </c>
      <c r="L76" s="9">
        <v>3.4129692832764505E-3</v>
      </c>
      <c r="M76" s="9">
        <v>1.5242537025311569E-2</v>
      </c>
      <c r="N76" s="9">
        <v>3.0577733850169105E-3</v>
      </c>
      <c r="O76" s="9">
        <v>5.7757941716986083E-3</v>
      </c>
      <c r="P76" s="9">
        <v>2.7952372863033373E-3</v>
      </c>
      <c r="Q76" s="9">
        <v>1.5597732923571109E-3</v>
      </c>
      <c r="R76" s="9">
        <v>1.3744536932651769E-3</v>
      </c>
    </row>
    <row r="77" spans="1:18" x14ac:dyDescent="0.35">
      <c r="A77" s="2" t="s">
        <v>69</v>
      </c>
      <c r="B77" s="12" t="s">
        <v>59</v>
      </c>
      <c r="C77" s="2" t="s">
        <v>26</v>
      </c>
      <c r="D77">
        <v>19.534792364832501</v>
      </c>
      <c r="E77" s="11">
        <f>42.4443557827437-C76</f>
        <v>28.158641497029414</v>
      </c>
      <c r="F77">
        <v>11.433979892823499</v>
      </c>
      <c r="G77">
        <v>13.2291123191204</v>
      </c>
      <c r="H77">
        <v>5.3474450604605197</v>
      </c>
      <c r="I77">
        <v>1.3894346207897701</v>
      </c>
      <c r="J77">
        <v>0.662102914150696</v>
      </c>
      <c r="K77">
        <v>2.6371882383827798</v>
      </c>
    </row>
    <row r="78" spans="1:18" x14ac:dyDescent="0.35">
      <c r="C78" s="2" t="s">
        <v>26</v>
      </c>
      <c r="D78">
        <v>19.534792364832501</v>
      </c>
      <c r="E78" s="11">
        <f>E77-C76</f>
        <v>13.872927211315128</v>
      </c>
      <c r="F78">
        <v>11.433979892823499</v>
      </c>
      <c r="G78">
        <v>13.2291123191204</v>
      </c>
      <c r="H78">
        <v>5.3474450604605197</v>
      </c>
      <c r="I78">
        <v>1.3894346207897701</v>
      </c>
      <c r="J78">
        <v>0.662102914150696</v>
      </c>
      <c r="K78">
        <v>2.6371882383827798</v>
      </c>
    </row>
    <row r="79" spans="1:18" x14ac:dyDescent="0.35">
      <c r="C79" s="2" t="s">
        <v>70</v>
      </c>
      <c r="D79" s="11">
        <f>D78-C76</f>
        <v>5.249078079118215</v>
      </c>
      <c r="E79">
        <f>E78</f>
        <v>13.872927211315128</v>
      </c>
      <c r="F79">
        <v>11.433979892823499</v>
      </c>
      <c r="G79">
        <v>13.2291123191204</v>
      </c>
      <c r="H79">
        <v>5.3474450604605197</v>
      </c>
      <c r="I79">
        <v>1.3894346207897701</v>
      </c>
      <c r="J79">
        <v>0.662102914150696</v>
      </c>
      <c r="K79">
        <v>2.6371882383827798</v>
      </c>
    </row>
    <row r="80" spans="1:18" x14ac:dyDescent="0.35">
      <c r="B80" s="2" t="s">
        <v>71</v>
      </c>
      <c r="D80">
        <f>D79+($J79*0)</f>
        <v>5.249078079118215</v>
      </c>
      <c r="E80">
        <f t="shared" ref="E80:H80" si="28">E79+($J79*0)</f>
        <v>13.872927211315128</v>
      </c>
      <c r="F80">
        <f t="shared" si="28"/>
        <v>11.433979892823499</v>
      </c>
      <c r="G80">
        <f>G79+($J79*0.152)</f>
        <v>13.329751962071306</v>
      </c>
      <c r="H80">
        <f t="shared" si="28"/>
        <v>5.3474450604605197</v>
      </c>
      <c r="I80">
        <f>I79+($J79*0.3052)</f>
        <v>1.5915084301885625</v>
      </c>
      <c r="J80" s="13"/>
      <c r="K80">
        <f>K79+($J79*0.2892)</f>
        <v>2.828668401155161</v>
      </c>
    </row>
    <row r="81" spans="1:18" x14ac:dyDescent="0.35">
      <c r="B81" s="2" t="s">
        <v>50</v>
      </c>
      <c r="D81">
        <f>D80+($I80*0.2936)</f>
        <v>5.7163449542215767</v>
      </c>
      <c r="E81">
        <f t="shared" ref="E81:G81" si="29">E80+($I80*0)</f>
        <v>13.872927211315128</v>
      </c>
      <c r="F81">
        <f>F80+($I80*0.058)</f>
        <v>11.526287381774436</v>
      </c>
      <c r="G81">
        <f t="shared" si="29"/>
        <v>13.329751962071306</v>
      </c>
      <c r="H81">
        <f>H80+($I80*0.0726)</f>
        <v>5.4629885724922094</v>
      </c>
      <c r="I81" s="13"/>
      <c r="J81" s="13"/>
      <c r="K81">
        <f>K80+($I80*0.01386)</f>
        <v>2.8507267079975747</v>
      </c>
    </row>
    <row r="82" spans="1:18" x14ac:dyDescent="0.35">
      <c r="B82" s="2" t="s">
        <v>51</v>
      </c>
      <c r="D82">
        <f>D81+($K81*0.4066)</f>
        <v>6.8754504336933904</v>
      </c>
      <c r="E82">
        <f>E81+($K81*0.0288)</f>
        <v>13.955028140505458</v>
      </c>
      <c r="F82">
        <f>F81+($K81*0.0345)</f>
        <v>11.624637453200352</v>
      </c>
      <c r="G82">
        <f>G81+($K81*0)</f>
        <v>13.329751962071306</v>
      </c>
      <c r="H82">
        <f t="shared" ref="H82" si="30">H81+($K81*0)</f>
        <v>5.4629885724922094</v>
      </c>
      <c r="I82" s="13"/>
      <c r="J82" s="13"/>
      <c r="K82" s="13"/>
    </row>
    <row r="83" spans="1:18" x14ac:dyDescent="0.35">
      <c r="B83" s="2" t="s">
        <v>72</v>
      </c>
      <c r="D83" s="13"/>
      <c r="E83">
        <f>E82+($D82*0.0985)</f>
        <v>14.632260008224257</v>
      </c>
      <c r="F83">
        <f>F82+($D82*0.1445)</f>
        <v>12.618140040869047</v>
      </c>
      <c r="G83">
        <f>G82+($D82*0.2051)</f>
        <v>14.739906846021821</v>
      </c>
      <c r="H83">
        <f>H82+($D82*0.0441)</f>
        <v>5.7661959366180877</v>
      </c>
      <c r="I83" s="13"/>
      <c r="J83" s="13"/>
      <c r="K83" s="13"/>
    </row>
    <row r="84" spans="1:18" x14ac:dyDescent="0.35">
      <c r="B84" s="2"/>
      <c r="C84" s="2" t="s">
        <v>49</v>
      </c>
      <c r="D84" s="13"/>
      <c r="E84">
        <f>E83</f>
        <v>14.632260008224257</v>
      </c>
      <c r="F84">
        <f t="shared" ref="F84:H84" si="31">F83</f>
        <v>12.618140040869047</v>
      </c>
      <c r="G84" s="11">
        <f>G83-C76</f>
        <v>0.45419256030753452</v>
      </c>
      <c r="H84">
        <f t="shared" si="31"/>
        <v>5.7661959366180877</v>
      </c>
      <c r="I84" s="13"/>
      <c r="J84" s="13"/>
      <c r="K84" s="13"/>
    </row>
    <row r="85" spans="1:18" x14ac:dyDescent="0.35">
      <c r="B85" s="2"/>
      <c r="C85" s="2" t="s">
        <v>26</v>
      </c>
      <c r="D85" s="13"/>
      <c r="E85" s="11">
        <f>E84-C76</f>
        <v>0.34654572250997084</v>
      </c>
      <c r="F85">
        <f>F84</f>
        <v>12.618140040869047</v>
      </c>
      <c r="G85">
        <f>G84</f>
        <v>0.45419256030753452</v>
      </c>
      <c r="H85">
        <f>H84</f>
        <v>5.7661959366180877</v>
      </c>
      <c r="I85" s="13"/>
      <c r="J85" s="13"/>
      <c r="K85" s="13"/>
    </row>
    <row r="86" spans="1:18" x14ac:dyDescent="0.35">
      <c r="B86" s="2" t="s">
        <v>73</v>
      </c>
      <c r="C86" s="2"/>
      <c r="D86" s="13"/>
      <c r="E86" s="13"/>
      <c r="F86">
        <f>F85+($E85*0.1403)</f>
        <v>12.666760405737197</v>
      </c>
      <c r="G86">
        <f>G85+($E85*0.3897)</f>
        <v>0.58924142836967019</v>
      </c>
      <c r="H86">
        <f>H85+($E85*0.1755)</f>
        <v>5.8270147109185872</v>
      </c>
      <c r="I86" s="13"/>
      <c r="J86" s="13"/>
      <c r="K86" s="13"/>
    </row>
    <row r="87" spans="1:18" x14ac:dyDescent="0.35">
      <c r="B87" s="2" t="s">
        <v>76</v>
      </c>
      <c r="D87" s="13"/>
      <c r="E87" s="13"/>
      <c r="F87">
        <f>F86+($G86*0.0129)</f>
        <v>12.674361620163166</v>
      </c>
      <c r="G87" s="13"/>
      <c r="H87">
        <f>H86+($G86*0.3775)</f>
        <v>6.0494533501281378</v>
      </c>
      <c r="I87" s="13"/>
      <c r="J87" s="13"/>
      <c r="K87" s="13"/>
    </row>
    <row r="88" spans="1:18" x14ac:dyDescent="0.35">
      <c r="B88" s="2"/>
      <c r="C88" s="2" t="s">
        <v>27</v>
      </c>
      <c r="D88" s="13"/>
      <c r="E88" s="13"/>
      <c r="F88" s="11">
        <f>F87-C76</f>
        <v>-1.6113526655511201</v>
      </c>
      <c r="G88" s="13"/>
      <c r="H88">
        <f>H87</f>
        <v>6.0494533501281378</v>
      </c>
      <c r="I88" s="13"/>
      <c r="J88" s="13"/>
      <c r="K88" s="13"/>
    </row>
    <row r="89" spans="1:18" x14ac:dyDescent="0.35">
      <c r="B89" s="2"/>
      <c r="C89" s="2"/>
    </row>
    <row r="91" spans="1:18" x14ac:dyDescent="0.35">
      <c r="A91" s="2" t="s">
        <v>11</v>
      </c>
      <c r="B91">
        <v>6</v>
      </c>
      <c r="C91">
        <f>100/(B91+1)</f>
        <v>14.285714285714286</v>
      </c>
      <c r="D91" s="6">
        <v>0.24407221267286505</v>
      </c>
      <c r="E91" s="6">
        <v>0.38875585071750401</v>
      </c>
      <c r="F91" s="6">
        <v>6.9539810401854307E-2</v>
      </c>
      <c r="G91" s="6">
        <v>0.13920270724275333</v>
      </c>
      <c r="H91" s="6">
        <v>5.3083072896320027E-2</v>
      </c>
      <c r="I91" s="6">
        <v>1.1478698856681511E-2</v>
      </c>
      <c r="J91" s="6">
        <v>6.2524025314477693E-3</v>
      </c>
      <c r="K91" s="6">
        <v>3.2904361017787848E-2</v>
      </c>
      <c r="L91" s="9">
        <v>2.630413834414147E-3</v>
      </c>
      <c r="M91" s="9">
        <v>4.2151730603953434E-2</v>
      </c>
      <c r="N91" s="9">
        <v>1.6537750345079043E-3</v>
      </c>
      <c r="O91" s="9">
        <v>4.1669922129333025E-3</v>
      </c>
      <c r="P91" s="9">
        <v>1.6277313331770711E-3</v>
      </c>
      <c r="Q91" s="9">
        <v>1.4454254238612393E-3</v>
      </c>
      <c r="R91" s="9">
        <v>1.0417480532333256E-3</v>
      </c>
    </row>
    <row r="92" spans="1:18" x14ac:dyDescent="0.35">
      <c r="A92" s="2" t="s">
        <v>75</v>
      </c>
      <c r="B92" s="12" t="s">
        <v>59</v>
      </c>
      <c r="C92" s="2" t="s">
        <v>26</v>
      </c>
      <c r="D92">
        <f>D91*100</f>
        <v>24.407221267286506</v>
      </c>
      <c r="E92" s="11">
        <f>(E91*100)-C91</f>
        <v>24.589870786036116</v>
      </c>
      <c r="F92">
        <f t="shared" ref="F92:K92" si="32">F91*100</f>
        <v>6.9539810401854307</v>
      </c>
      <c r="G92">
        <f t="shared" si="32"/>
        <v>13.920270724275333</v>
      </c>
      <c r="H92">
        <f t="shared" si="32"/>
        <v>5.3083072896320029</v>
      </c>
      <c r="I92">
        <f t="shared" si="32"/>
        <v>1.1478698856681511</v>
      </c>
      <c r="J92">
        <f t="shared" si="32"/>
        <v>0.62524025314477694</v>
      </c>
      <c r="K92">
        <f t="shared" si="32"/>
        <v>3.2904361017787846</v>
      </c>
    </row>
    <row r="93" spans="1:18" x14ac:dyDescent="0.35">
      <c r="C93" s="2" t="s">
        <v>56</v>
      </c>
      <c r="D93">
        <f>D92</f>
        <v>24.407221267286506</v>
      </c>
      <c r="E93" s="11">
        <f>E92-C91</f>
        <v>10.304156500321829</v>
      </c>
      <c r="F93">
        <f>F92</f>
        <v>6.9539810401854307</v>
      </c>
      <c r="G93">
        <f t="shared" ref="G93:K94" si="33">G92</f>
        <v>13.920270724275333</v>
      </c>
      <c r="H93">
        <f t="shared" si="33"/>
        <v>5.3083072896320029</v>
      </c>
      <c r="I93">
        <f t="shared" si="33"/>
        <v>1.1478698856681511</v>
      </c>
      <c r="J93">
        <f t="shared" si="33"/>
        <v>0.62524025314477694</v>
      </c>
      <c r="K93">
        <f t="shared" si="33"/>
        <v>3.2904361017787846</v>
      </c>
    </row>
    <row r="94" spans="1:18" x14ac:dyDescent="0.35">
      <c r="C94" s="2" t="s">
        <v>26</v>
      </c>
      <c r="D94" s="11">
        <f>D93-C91</f>
        <v>10.121506981572219</v>
      </c>
      <c r="E94">
        <f>E93</f>
        <v>10.304156500321829</v>
      </c>
      <c r="F94">
        <f t="shared" ref="F94" si="34">F93</f>
        <v>6.9539810401854307</v>
      </c>
      <c r="G94">
        <f t="shared" si="33"/>
        <v>13.920270724275333</v>
      </c>
      <c r="H94">
        <f t="shared" si="33"/>
        <v>5.3083072896320029</v>
      </c>
      <c r="I94">
        <f t="shared" si="33"/>
        <v>1.1478698856681511</v>
      </c>
      <c r="J94">
        <f t="shared" si="33"/>
        <v>0.62524025314477694</v>
      </c>
      <c r="K94">
        <f t="shared" si="33"/>
        <v>3.2904361017787846</v>
      </c>
    </row>
    <row r="95" spans="1:18" x14ac:dyDescent="0.35">
      <c r="B95" s="2" t="s">
        <v>52</v>
      </c>
      <c r="D95">
        <f>D94+($J94*0)</f>
        <v>10.121506981572219</v>
      </c>
      <c r="E95">
        <f t="shared" ref="E95:H95" si="35">E94+($J94*0)</f>
        <v>10.304156500321829</v>
      </c>
      <c r="F95">
        <f t="shared" si="35"/>
        <v>6.9539810401854307</v>
      </c>
      <c r="G95">
        <f>G94+($J94*0.152)</f>
        <v>14.015307242753339</v>
      </c>
      <c r="H95">
        <f t="shared" si="35"/>
        <v>5.3083072896320029</v>
      </c>
      <c r="I95">
        <f>I94+($J94*0.3052)</f>
        <v>1.338693210927937</v>
      </c>
      <c r="J95" s="13"/>
      <c r="K95">
        <f>K94+($J94*0.2892)</f>
        <v>3.4712555829882543</v>
      </c>
    </row>
    <row r="96" spans="1:18" x14ac:dyDescent="0.35">
      <c r="B96" s="2" t="s">
        <v>50</v>
      </c>
      <c r="D96">
        <f>D95+($I95*0.2936)</f>
        <v>10.514547308300662</v>
      </c>
      <c r="E96">
        <f t="shared" ref="E96:G96" si="36">E95+($I95*0)</f>
        <v>10.304156500321829</v>
      </c>
      <c r="F96">
        <f>F95+($I95*0.058)</f>
        <v>7.0316252464192512</v>
      </c>
      <c r="G96">
        <f t="shared" si="36"/>
        <v>14.015307242753339</v>
      </c>
      <c r="H96">
        <f>H95+($I95*0.0726)</f>
        <v>5.405496416745371</v>
      </c>
      <c r="I96" s="13"/>
      <c r="J96" s="13"/>
      <c r="K96">
        <f>K95+($I95*0.1386)</f>
        <v>3.6567984620228664</v>
      </c>
    </row>
    <row r="97" spans="1:18" x14ac:dyDescent="0.35">
      <c r="B97" s="2" t="s">
        <v>51</v>
      </c>
      <c r="D97">
        <f>D96+($K96*0.4066)</f>
        <v>12.00140156295916</v>
      </c>
      <c r="E97">
        <f>E96+($K96*0.0288)</f>
        <v>10.409472296028088</v>
      </c>
      <c r="F97">
        <f>F96+($K96*0.0345)</f>
        <v>7.1577847933590402</v>
      </c>
      <c r="G97">
        <f t="shared" ref="G97:H97" si="37">G96+($K96*0)</f>
        <v>14.015307242753339</v>
      </c>
      <c r="H97">
        <f t="shared" si="37"/>
        <v>5.405496416745371</v>
      </c>
      <c r="I97" s="13"/>
      <c r="J97" s="13"/>
      <c r="K97" s="13"/>
    </row>
    <row r="98" spans="1:18" x14ac:dyDescent="0.35">
      <c r="B98" s="2" t="s">
        <v>60</v>
      </c>
      <c r="D98">
        <f>D97+($H97*0)</f>
        <v>12.00140156295916</v>
      </c>
      <c r="E98">
        <f>E97+($H97*0.2754)</f>
        <v>11.898146009199763</v>
      </c>
      <c r="F98">
        <f>F97+($H97*0.0436)</f>
        <v>7.393464437129138</v>
      </c>
      <c r="G98">
        <f>G97+($H97*0.4247)</f>
        <v>16.311021570945098</v>
      </c>
      <c r="H98" s="13"/>
      <c r="I98" s="13"/>
      <c r="J98" s="13"/>
      <c r="K98" s="13"/>
    </row>
    <row r="99" spans="1:18" x14ac:dyDescent="0.35">
      <c r="B99" s="2"/>
      <c r="C99" s="2" t="s">
        <v>49</v>
      </c>
      <c r="D99">
        <f>D98</f>
        <v>12.00140156295916</v>
      </c>
      <c r="E99">
        <f t="shared" ref="E99:F99" si="38">E98</f>
        <v>11.898146009199763</v>
      </c>
      <c r="F99">
        <f t="shared" si="38"/>
        <v>7.393464437129138</v>
      </c>
      <c r="G99" s="11">
        <f>G98-C91</f>
        <v>2.0253072852308112</v>
      </c>
      <c r="H99" s="13"/>
      <c r="I99" s="13"/>
      <c r="J99" s="13"/>
      <c r="K99" s="13"/>
    </row>
    <row r="100" spans="1:18" x14ac:dyDescent="0.35">
      <c r="B100" s="2" t="s">
        <v>76</v>
      </c>
      <c r="C100" s="2"/>
      <c r="D100">
        <f>D99+($G99*0)</f>
        <v>12.00140156295916</v>
      </c>
      <c r="E100">
        <f>E99+($G99*0.4615)</f>
        <v>12.832825321333782</v>
      </c>
      <c r="F100">
        <f>F99+($G99*0.0129)</f>
        <v>7.4195909011086156</v>
      </c>
      <c r="G100" s="13"/>
      <c r="H100" s="13"/>
      <c r="I100" s="13"/>
      <c r="J100" s="13"/>
      <c r="K100" s="13"/>
    </row>
    <row r="101" spans="1:18" x14ac:dyDescent="0.35">
      <c r="B101" s="2" t="s">
        <v>54</v>
      </c>
      <c r="D101">
        <f>D100+(F100*0.0411)</f>
        <v>12.306346748994724</v>
      </c>
      <c r="E101">
        <f>E100+(F100*0.3462)</f>
        <v>15.401487691297586</v>
      </c>
      <c r="F101" s="13"/>
      <c r="G101" s="13"/>
      <c r="H101" s="13"/>
      <c r="I101" s="13"/>
      <c r="J101" s="13"/>
      <c r="K101" s="13"/>
    </row>
    <row r="102" spans="1:18" x14ac:dyDescent="0.35">
      <c r="B102" s="2"/>
      <c r="C102" s="2" t="s">
        <v>26</v>
      </c>
      <c r="D102">
        <f>D101</f>
        <v>12.306346748994724</v>
      </c>
      <c r="E102" s="11">
        <f>E101-C91</f>
        <v>1.1157734055832993</v>
      </c>
      <c r="F102" s="13"/>
      <c r="G102" s="13"/>
      <c r="H102" s="13"/>
      <c r="I102" s="13"/>
      <c r="J102" s="13"/>
      <c r="K102" s="13"/>
    </row>
    <row r="103" spans="1:18" x14ac:dyDescent="0.35">
      <c r="B103" s="2"/>
      <c r="C103" s="2" t="s">
        <v>56</v>
      </c>
      <c r="D103" s="11">
        <f>D102-C91</f>
        <v>-1.9793675367195629</v>
      </c>
      <c r="E103">
        <f>E102</f>
        <v>1.1157734055832993</v>
      </c>
      <c r="F103" s="13"/>
      <c r="G103" s="13"/>
      <c r="H103" s="13"/>
      <c r="I103" s="13"/>
      <c r="J103" s="13"/>
      <c r="K103" s="13"/>
    </row>
    <row r="105" spans="1:18" x14ac:dyDescent="0.35">
      <c r="A105" t="s">
        <v>12</v>
      </c>
      <c r="B105">
        <v>5</v>
      </c>
      <c r="C105">
        <f>100/(B105+1)</f>
        <v>16.666666666666668</v>
      </c>
      <c r="D105" s="6">
        <v>0.19627038433376434</v>
      </c>
      <c r="E105" s="6">
        <v>0.24416993098505971</v>
      </c>
      <c r="F105" s="6">
        <v>5.1445568555359956E-2</v>
      </c>
      <c r="G105" s="6">
        <v>0.39267402358659581</v>
      </c>
      <c r="H105" s="6">
        <v>3.7186767203103335E-2</v>
      </c>
      <c r="I105" s="6">
        <v>1.7194701584383618E-2</v>
      </c>
      <c r="J105" s="6">
        <v>8.0624172365981704E-3</v>
      </c>
      <c r="K105" s="6">
        <v>2.9437342846905232E-2</v>
      </c>
      <c r="L105" s="9">
        <v>4.4400130863543599E-3</v>
      </c>
      <c r="M105" s="9">
        <v>3.8635903347925657E-3</v>
      </c>
      <c r="N105" s="9">
        <v>2.9132717443798783E-3</v>
      </c>
      <c r="O105" s="9">
        <v>5.7798065089033944E-3</v>
      </c>
      <c r="P105" s="9">
        <v>1.0437925501254109E-3</v>
      </c>
      <c r="Q105" s="9">
        <v>0</v>
      </c>
      <c r="R105" s="9">
        <v>5.4526476499088625E-3</v>
      </c>
    </row>
    <row r="106" spans="1:18" x14ac:dyDescent="0.35">
      <c r="A106" s="2" t="s">
        <v>77</v>
      </c>
      <c r="B106" s="12" t="s">
        <v>59</v>
      </c>
      <c r="C106" s="2" t="s">
        <v>49</v>
      </c>
      <c r="D106">
        <f>D105*100</f>
        <v>19.627038433376434</v>
      </c>
      <c r="E106">
        <f t="shared" ref="E106:K106" si="39">E105*100</f>
        <v>24.416993098505969</v>
      </c>
      <c r="F106">
        <f t="shared" si="39"/>
        <v>5.1445568555359955</v>
      </c>
      <c r="G106" s="11">
        <f>(G105*100)-C105</f>
        <v>22.600735691992913</v>
      </c>
      <c r="H106">
        <f t="shared" si="39"/>
        <v>3.7186767203103335</v>
      </c>
      <c r="I106">
        <f t="shared" si="39"/>
        <v>1.7194701584383618</v>
      </c>
      <c r="J106">
        <f t="shared" si="39"/>
        <v>0.80624172365981706</v>
      </c>
      <c r="K106">
        <f t="shared" si="39"/>
        <v>2.9437342846905232</v>
      </c>
    </row>
    <row r="107" spans="1:18" x14ac:dyDescent="0.35">
      <c r="C107" s="2" t="s">
        <v>26</v>
      </c>
      <c r="D107">
        <f>D106</f>
        <v>19.627038433376434</v>
      </c>
      <c r="E107" s="11">
        <f>E106-C105</f>
        <v>7.7503264318393015</v>
      </c>
      <c r="F107">
        <f t="shared" ref="F107:K107" si="40">F106</f>
        <v>5.1445568555359955</v>
      </c>
      <c r="G107">
        <f t="shared" si="40"/>
        <v>22.600735691992913</v>
      </c>
      <c r="H107">
        <f t="shared" si="40"/>
        <v>3.7186767203103335</v>
      </c>
      <c r="I107">
        <f t="shared" si="40"/>
        <v>1.7194701584383618</v>
      </c>
      <c r="J107">
        <f t="shared" si="40"/>
        <v>0.80624172365981706</v>
      </c>
      <c r="K107">
        <f t="shared" si="40"/>
        <v>2.9437342846905232</v>
      </c>
    </row>
    <row r="108" spans="1:18" x14ac:dyDescent="0.35">
      <c r="C108" s="2" t="s">
        <v>49</v>
      </c>
      <c r="D108">
        <f>D107</f>
        <v>19.627038433376434</v>
      </c>
      <c r="E108">
        <f t="shared" ref="E108:K109" si="41">E107</f>
        <v>7.7503264318393015</v>
      </c>
      <c r="F108">
        <f t="shared" si="41"/>
        <v>5.1445568555359955</v>
      </c>
      <c r="G108" s="11">
        <f>G107-C105</f>
        <v>5.9340690253262451</v>
      </c>
      <c r="H108">
        <f t="shared" si="41"/>
        <v>3.7186767203103335</v>
      </c>
      <c r="I108">
        <f t="shared" si="41"/>
        <v>1.7194701584383618</v>
      </c>
      <c r="J108">
        <f t="shared" si="41"/>
        <v>0.80624172365981706</v>
      </c>
      <c r="K108">
        <f t="shared" si="41"/>
        <v>2.9437342846905232</v>
      </c>
    </row>
    <row r="109" spans="1:18" x14ac:dyDescent="0.35">
      <c r="C109" s="2" t="s">
        <v>56</v>
      </c>
      <c r="D109" s="11">
        <f>D108-C105</f>
        <v>2.9603717667097662</v>
      </c>
      <c r="E109">
        <f>E108</f>
        <v>7.7503264318393015</v>
      </c>
      <c r="F109">
        <f t="shared" si="41"/>
        <v>5.1445568555359955</v>
      </c>
      <c r="G109">
        <f t="shared" si="41"/>
        <v>5.9340690253262451</v>
      </c>
      <c r="H109">
        <f t="shared" si="41"/>
        <v>3.7186767203103335</v>
      </c>
      <c r="I109">
        <f t="shared" si="41"/>
        <v>1.7194701584383618</v>
      </c>
      <c r="J109">
        <f t="shared" si="41"/>
        <v>0.80624172365981706</v>
      </c>
      <c r="K109">
        <f t="shared" si="41"/>
        <v>2.9437342846905232</v>
      </c>
    </row>
    <row r="110" spans="1:18" x14ac:dyDescent="0.35">
      <c r="B110" s="2" t="s">
        <v>52</v>
      </c>
      <c r="D110">
        <f>D109+($J109*0)</f>
        <v>2.9603717667097662</v>
      </c>
      <c r="E110">
        <f>E109+($J109*0)</f>
        <v>7.7503264318393015</v>
      </c>
      <c r="F110">
        <f>F109+($J109*0)</f>
        <v>5.1445568555359955</v>
      </c>
      <c r="G110">
        <f>G109+($J109*0.152)</f>
        <v>6.0566177673225372</v>
      </c>
      <c r="H110">
        <f>H109+($J109*0)</f>
        <v>3.7186767203103335</v>
      </c>
      <c r="I110">
        <f>I109+($J109*0.3052)</f>
        <v>1.965535132499338</v>
      </c>
      <c r="J110" s="13"/>
      <c r="K110">
        <f>K109+($J109*0.2892)</f>
        <v>3.1768993911729422</v>
      </c>
    </row>
    <row r="111" spans="1:18" x14ac:dyDescent="0.35">
      <c r="B111" s="2" t="s">
        <v>50</v>
      </c>
      <c r="D111">
        <f>D110+($I110*0.2936)</f>
        <v>3.5374528816115718</v>
      </c>
      <c r="E111">
        <f>E110+($I110*0)</f>
        <v>7.7503264318393015</v>
      </c>
      <c r="F111">
        <f>F110+($I110*0.058)</f>
        <v>5.2585578932209573</v>
      </c>
      <c r="G111">
        <f t="shared" ref="G111" si="42">G110+($I110*0)</f>
        <v>6.0566177673225372</v>
      </c>
      <c r="H111">
        <f>H110+($I110*0.0726)</f>
        <v>3.8613745709297853</v>
      </c>
      <c r="I111" s="13"/>
      <c r="J111" s="13"/>
      <c r="K111">
        <f>K110+($I110*0.1386)</f>
        <v>3.4493225605373503</v>
      </c>
    </row>
    <row r="112" spans="1:18" x14ac:dyDescent="0.35">
      <c r="B112" s="2" t="s">
        <v>51</v>
      </c>
      <c r="D112">
        <f>D111+($K111*0.4066)</f>
        <v>4.9399474347260588</v>
      </c>
      <c r="E112">
        <f>E111+($K111*0.0288)</f>
        <v>7.8496669215827772</v>
      </c>
      <c r="F112">
        <f>F111+($K111*0.0345)</f>
        <v>5.3775595215594958</v>
      </c>
      <c r="G112">
        <f>G111+($K111*0)</f>
        <v>6.0566177673225372</v>
      </c>
      <c r="H112">
        <f>H111+($K111*0)</f>
        <v>3.8613745709297853</v>
      </c>
      <c r="I112" s="13"/>
      <c r="J112" s="13"/>
      <c r="K112" s="13"/>
    </row>
    <row r="113" spans="1:18" x14ac:dyDescent="0.35">
      <c r="B113" s="2" t="s">
        <v>60</v>
      </c>
      <c r="D113">
        <f>D112+($H112*0)</f>
        <v>4.9399474347260588</v>
      </c>
      <c r="E113">
        <f>E112+($H112*0.2754)</f>
        <v>8.9130894784168397</v>
      </c>
      <c r="F113">
        <f>F112+($H112*0.0436)</f>
        <v>5.545915452852034</v>
      </c>
      <c r="G113">
        <f>G112+($H112*0.4247)</f>
        <v>7.6965435475964172</v>
      </c>
      <c r="H113" s="13"/>
      <c r="I113" s="13"/>
      <c r="J113" s="13"/>
      <c r="K113" s="13"/>
    </row>
    <row r="114" spans="1:18" x14ac:dyDescent="0.35">
      <c r="B114" s="2" t="s">
        <v>61</v>
      </c>
      <c r="C114" s="2"/>
      <c r="D114" s="13"/>
      <c r="E114">
        <f>E113+($D113*0.1035)</f>
        <v>9.4243740379109866</v>
      </c>
      <c r="F114">
        <f>F113+($D113*0.1277)</f>
        <v>6.1767467402665517</v>
      </c>
      <c r="G114">
        <f>G113+($D113*0.1497)</f>
        <v>8.4360536785749076</v>
      </c>
      <c r="H114" s="13"/>
      <c r="I114" s="13"/>
      <c r="J114" s="13"/>
      <c r="K114" s="13"/>
    </row>
    <row r="115" spans="1:18" x14ac:dyDescent="0.35">
      <c r="B115" s="2" t="s">
        <v>54</v>
      </c>
      <c r="D115" s="13"/>
      <c r="E115">
        <f>E114+(F114*0.3462)</f>
        <v>11.562763759391267</v>
      </c>
      <c r="F115" s="13"/>
      <c r="G115">
        <f>G114+(F114*0.1365)</f>
        <v>9.2791796086212912</v>
      </c>
      <c r="H115" s="13"/>
      <c r="I115" s="13"/>
      <c r="J115" s="13"/>
      <c r="K115" s="13"/>
    </row>
    <row r="116" spans="1:18" x14ac:dyDescent="0.35">
      <c r="B116" s="2"/>
      <c r="C116" s="2" t="s">
        <v>26</v>
      </c>
      <c r="D116" s="13"/>
      <c r="E116" s="11">
        <f>E115-C105</f>
        <v>-5.1039029072754012</v>
      </c>
      <c r="F116" s="13"/>
      <c r="G116">
        <f>G115</f>
        <v>9.2791796086212912</v>
      </c>
      <c r="H116" s="13"/>
      <c r="I116" s="13"/>
      <c r="J116" s="13"/>
      <c r="K116" s="13"/>
    </row>
    <row r="118" spans="1:18" x14ac:dyDescent="0.35">
      <c r="A118" t="s">
        <v>13</v>
      </c>
      <c r="B118">
        <v>5</v>
      </c>
      <c r="C118">
        <v>16.666666666666668</v>
      </c>
      <c r="D118" s="6">
        <v>0.32157455360679377</v>
      </c>
      <c r="E118" s="6">
        <v>0.35163889443414603</v>
      </c>
      <c r="F118" s="6">
        <v>2.6664128523218783E-2</v>
      </c>
      <c r="G118" s="6">
        <v>0.17719992236639892</v>
      </c>
      <c r="H118" s="6">
        <v>2.5794988671831678E-2</v>
      </c>
      <c r="I118" s="6">
        <v>1.9113108988069772E-2</v>
      </c>
      <c r="J118" s="6">
        <v>1.1137157976456421E-2</v>
      </c>
      <c r="K118" s="6">
        <v>4.6863114533326991E-2</v>
      </c>
      <c r="L118" s="9">
        <v>3.8975236465611483E-3</v>
      </c>
      <c r="M118" s="9">
        <v>2.5666619135890491E-3</v>
      </c>
      <c r="N118" s="9">
        <v>2.3923824009379406E-3</v>
      </c>
      <c r="O118" s="9">
        <v>4.1827083036265981E-3</v>
      </c>
      <c r="P118" s="9">
        <v>9.1892833943311623E-4</v>
      </c>
      <c r="Q118" s="9">
        <v>0</v>
      </c>
      <c r="R118" s="9">
        <v>6.0047213904336387E-3</v>
      </c>
    </row>
    <row r="119" spans="1:18" x14ac:dyDescent="0.35">
      <c r="A119" s="2" t="s">
        <v>77</v>
      </c>
      <c r="B119" s="10" t="s">
        <v>57</v>
      </c>
      <c r="C119" s="2" t="s">
        <v>26</v>
      </c>
      <c r="D119">
        <f>D118*100</f>
        <v>32.157455360679378</v>
      </c>
      <c r="E119" s="11">
        <f>(E118*100)-C118</f>
        <v>18.497222776747936</v>
      </c>
      <c r="F119">
        <f t="shared" ref="F119:K119" si="43">F118*100</f>
        <v>2.6664128523218782</v>
      </c>
      <c r="G119">
        <f t="shared" si="43"/>
        <v>17.719992236639893</v>
      </c>
      <c r="H119">
        <f t="shared" si="43"/>
        <v>2.579498867183168</v>
      </c>
      <c r="I119">
        <f t="shared" si="43"/>
        <v>1.9113108988069771</v>
      </c>
      <c r="J119">
        <f t="shared" si="43"/>
        <v>1.113715797645642</v>
      </c>
      <c r="K119">
        <f t="shared" si="43"/>
        <v>4.6863114533326993</v>
      </c>
    </row>
    <row r="120" spans="1:18" x14ac:dyDescent="0.35">
      <c r="C120" s="2" t="s">
        <v>56</v>
      </c>
      <c r="D120" s="11">
        <f>D119-C118</f>
        <v>15.490788694012711</v>
      </c>
      <c r="E120">
        <f t="shared" ref="E120:K122" si="44">E119</f>
        <v>18.497222776747936</v>
      </c>
      <c r="F120">
        <f t="shared" si="44"/>
        <v>2.6664128523218782</v>
      </c>
      <c r="G120">
        <f t="shared" si="44"/>
        <v>17.719992236639893</v>
      </c>
      <c r="H120">
        <f t="shared" si="44"/>
        <v>2.579498867183168</v>
      </c>
      <c r="I120">
        <f t="shared" si="44"/>
        <v>1.9113108988069771</v>
      </c>
      <c r="J120">
        <f t="shared" si="44"/>
        <v>1.113715797645642</v>
      </c>
      <c r="K120">
        <f t="shared" si="44"/>
        <v>4.6863114533326993</v>
      </c>
    </row>
    <row r="121" spans="1:18" x14ac:dyDescent="0.35">
      <c r="C121" s="2" t="s">
        <v>26</v>
      </c>
      <c r="D121">
        <f>D120</f>
        <v>15.490788694012711</v>
      </c>
      <c r="E121" s="11">
        <f>E120-C118</f>
        <v>1.8305561100812682</v>
      </c>
      <c r="F121">
        <f t="shared" si="44"/>
        <v>2.6664128523218782</v>
      </c>
      <c r="G121">
        <f t="shared" si="44"/>
        <v>17.719992236639893</v>
      </c>
      <c r="H121">
        <f t="shared" si="44"/>
        <v>2.579498867183168</v>
      </c>
      <c r="I121">
        <f t="shared" si="44"/>
        <v>1.9113108988069771</v>
      </c>
      <c r="J121">
        <f t="shared" si="44"/>
        <v>1.113715797645642</v>
      </c>
      <c r="K121">
        <f t="shared" si="44"/>
        <v>4.6863114533326993</v>
      </c>
    </row>
    <row r="122" spans="1:18" x14ac:dyDescent="0.35">
      <c r="C122" s="2" t="s">
        <v>49</v>
      </c>
      <c r="D122">
        <f>D121</f>
        <v>15.490788694012711</v>
      </c>
      <c r="E122">
        <f t="shared" ref="E122" si="45">E121</f>
        <v>1.8305561100812682</v>
      </c>
      <c r="F122">
        <f t="shared" si="44"/>
        <v>2.6664128523218782</v>
      </c>
      <c r="G122" s="11">
        <f>G121-C118</f>
        <v>1.0533255699732251</v>
      </c>
      <c r="H122">
        <f t="shared" si="44"/>
        <v>2.579498867183168</v>
      </c>
      <c r="I122">
        <f t="shared" si="44"/>
        <v>1.9113108988069771</v>
      </c>
      <c r="J122">
        <f t="shared" si="44"/>
        <v>1.113715797645642</v>
      </c>
      <c r="K122">
        <f t="shared" si="44"/>
        <v>4.6863114533326993</v>
      </c>
    </row>
    <row r="123" spans="1:18" x14ac:dyDescent="0.35">
      <c r="B123" s="2" t="s">
        <v>62</v>
      </c>
      <c r="D123">
        <f>D122+($G122*0.1149)</f>
        <v>15.611815802002635</v>
      </c>
      <c r="E123">
        <f>E122+($G122*0.4561)</f>
        <v>2.310977902546056</v>
      </c>
      <c r="F123">
        <f>F122+($G122*0.0593)</f>
        <v>2.7288750586212904</v>
      </c>
      <c r="G123" s="13"/>
      <c r="H123">
        <f>H122+($G122*0.2986)</f>
        <v>2.8940218823771731</v>
      </c>
      <c r="I123">
        <f t="shared" ref="I123:K123" si="46">I122+($G122*0)</f>
        <v>1.9113108988069771</v>
      </c>
      <c r="J123">
        <f t="shared" si="46"/>
        <v>1.113715797645642</v>
      </c>
      <c r="K123">
        <f t="shared" si="46"/>
        <v>4.6863114533326993</v>
      </c>
    </row>
    <row r="124" spans="1:18" x14ac:dyDescent="0.35">
      <c r="B124" s="2" t="s">
        <v>52</v>
      </c>
      <c r="D124">
        <f>D123+($J123*0)</f>
        <v>15.611815802002635</v>
      </c>
      <c r="E124">
        <f t="shared" ref="E124:H124" si="47">E123+($J123*0)</f>
        <v>2.310977902546056</v>
      </c>
      <c r="F124">
        <f t="shared" si="47"/>
        <v>2.7288750586212904</v>
      </c>
      <c r="G124" s="13"/>
      <c r="H124">
        <f t="shared" si="47"/>
        <v>2.8940218823771731</v>
      </c>
      <c r="I124">
        <f>I123+($J123*0.3052)</f>
        <v>2.2512169602484269</v>
      </c>
      <c r="J124" s="13"/>
      <c r="K124">
        <f>K123+($J123*0.2892)</f>
        <v>5.0083980620118194</v>
      </c>
    </row>
    <row r="125" spans="1:18" x14ac:dyDescent="0.35">
      <c r="B125" s="2" t="s">
        <v>50</v>
      </c>
      <c r="D125">
        <f>D124+($I124*0.2936)</f>
        <v>16.272773101531573</v>
      </c>
      <c r="E125">
        <f>E124+($I124*0)</f>
        <v>2.310977902546056</v>
      </c>
      <c r="F125">
        <f>F124+($I124*0.058)</f>
        <v>2.8594456423156993</v>
      </c>
      <c r="G125" s="13"/>
      <c r="H125">
        <f>H124+($I124*0.0726)</f>
        <v>3.0574602336912089</v>
      </c>
      <c r="I125" s="13"/>
      <c r="J125" s="13"/>
      <c r="K125">
        <f>K124+($I124*0.1386)</f>
        <v>5.3204167327022516</v>
      </c>
    </row>
    <row r="126" spans="1:18" x14ac:dyDescent="0.35">
      <c r="B126" s="2" t="s">
        <v>98</v>
      </c>
      <c r="D126">
        <f>D125+($E125*0.043)</f>
        <v>16.372145151341055</v>
      </c>
      <c r="E126" s="13"/>
      <c r="F126">
        <f>F125+($E125*0.173)</f>
        <v>3.2592448194561667</v>
      </c>
      <c r="G126" s="13"/>
      <c r="H126">
        <f>H125+($E125*0.1368)</f>
        <v>3.3736020107595093</v>
      </c>
      <c r="I126" s="13"/>
      <c r="J126" s="13"/>
      <c r="K126">
        <f>K125+($E125*0.0365)</f>
        <v>5.4047674261451828</v>
      </c>
    </row>
    <row r="127" spans="1:18" x14ac:dyDescent="0.35">
      <c r="B127" s="2" t="s">
        <v>54</v>
      </c>
      <c r="D127">
        <f>D126+($F126*0.0411)</f>
        <v>16.506100113420704</v>
      </c>
      <c r="E127" s="13"/>
      <c r="F127" s="13"/>
      <c r="G127" s="13"/>
      <c r="H127">
        <f>H126+($F126*0.3121)</f>
        <v>4.3908123189117791</v>
      </c>
      <c r="I127" s="13"/>
      <c r="J127" s="13"/>
      <c r="K127">
        <f>K126+($F126*0.0113)</f>
        <v>5.4415968926050375</v>
      </c>
    </row>
    <row r="128" spans="1:18" x14ac:dyDescent="0.35">
      <c r="B128" s="2" t="s">
        <v>60</v>
      </c>
      <c r="D128">
        <f>D127+($H127*0)</f>
        <v>16.506100113420704</v>
      </c>
      <c r="E128" s="13"/>
      <c r="F128" s="13"/>
      <c r="G128" s="13"/>
      <c r="H128" s="13"/>
      <c r="I128" s="13"/>
      <c r="J128" s="13"/>
      <c r="K128">
        <f>K127+($H127*0)</f>
        <v>5.4415968926050375</v>
      </c>
    </row>
    <row r="129" spans="1:18" x14ac:dyDescent="0.35">
      <c r="B129" s="2" t="s">
        <v>51</v>
      </c>
      <c r="D129">
        <f>D128+(K128*0.4066)</f>
        <v>18.718653409953912</v>
      </c>
      <c r="E129" s="13"/>
      <c r="F129" s="13"/>
      <c r="G129" s="13"/>
      <c r="H129" s="13"/>
      <c r="I129" s="13"/>
      <c r="J129" s="13"/>
      <c r="K129" s="13"/>
    </row>
    <row r="130" spans="1:18" x14ac:dyDescent="0.35">
      <c r="C130" s="2" t="s">
        <v>56</v>
      </c>
      <c r="D130" s="11">
        <f>D129-C118</f>
        <v>2.0519867432872445</v>
      </c>
    </row>
    <row r="132" spans="1:18" x14ac:dyDescent="0.35">
      <c r="A132" t="s">
        <v>14</v>
      </c>
      <c r="B132">
        <v>5</v>
      </c>
      <c r="C132">
        <f>100/(B132+1)</f>
        <v>16.666666666666668</v>
      </c>
      <c r="D132" s="6">
        <v>0.35074190233563823</v>
      </c>
      <c r="E132" s="6">
        <v>0.30452965254436859</v>
      </c>
      <c r="F132" s="6">
        <v>5.7995427201301623E-2</v>
      </c>
      <c r="G132" s="6">
        <v>0.18127196163644538</v>
      </c>
      <c r="H132" s="6">
        <v>2.9867626469140034E-2</v>
      </c>
      <c r="I132" s="6">
        <v>1.6374256599088009E-2</v>
      </c>
      <c r="J132" s="6">
        <v>1.3474220205090877E-2</v>
      </c>
      <c r="K132" s="6">
        <v>2.9601250240842626E-2</v>
      </c>
      <c r="L132" s="9">
        <v>4.1746055532957977E-3</v>
      </c>
      <c r="M132" s="9">
        <v>2.4191303975508983E-3</v>
      </c>
      <c r="N132" s="9">
        <v>2.1836398278778017E-3</v>
      </c>
      <c r="O132" s="9">
        <v>5.0309348975616022E-3</v>
      </c>
      <c r="P132" s="9">
        <v>7.7069640983922416E-4</v>
      </c>
      <c r="Q132" s="9">
        <v>1.5628010532850935E-3</v>
      </c>
      <c r="R132" s="9">
        <v>0</v>
      </c>
    </row>
    <row r="133" spans="1:18" x14ac:dyDescent="0.35">
      <c r="A133" s="2" t="s">
        <v>78</v>
      </c>
      <c r="B133" s="12" t="s">
        <v>59</v>
      </c>
      <c r="C133" s="2" t="s">
        <v>56</v>
      </c>
      <c r="D133" s="11">
        <f>(D132*100)-C132</f>
        <v>18.407523566897158</v>
      </c>
      <c r="E133">
        <f t="shared" ref="E133:K133" si="48">E132*100</f>
        <v>30.452965254436858</v>
      </c>
      <c r="F133">
        <f t="shared" si="48"/>
        <v>5.7995427201301624</v>
      </c>
      <c r="G133">
        <f t="shared" si="48"/>
        <v>18.127196163644538</v>
      </c>
      <c r="H133">
        <f t="shared" si="48"/>
        <v>2.9867626469140034</v>
      </c>
      <c r="I133">
        <f t="shared" si="48"/>
        <v>1.6374256599088008</v>
      </c>
      <c r="J133">
        <f t="shared" si="48"/>
        <v>1.3474220205090877</v>
      </c>
      <c r="K133">
        <f t="shared" si="48"/>
        <v>2.9601250240842627</v>
      </c>
    </row>
    <row r="134" spans="1:18" x14ac:dyDescent="0.35">
      <c r="C134" s="2" t="s">
        <v>26</v>
      </c>
      <c r="D134">
        <f>D133</f>
        <v>18.407523566897158</v>
      </c>
      <c r="E134" s="11">
        <f>E133-C132</f>
        <v>13.78629858777019</v>
      </c>
      <c r="F134">
        <f t="shared" ref="F134:K136" si="49">F133</f>
        <v>5.7995427201301624</v>
      </c>
      <c r="G134">
        <f t="shared" si="49"/>
        <v>18.127196163644538</v>
      </c>
      <c r="H134">
        <f t="shared" si="49"/>
        <v>2.9867626469140034</v>
      </c>
      <c r="I134">
        <f t="shared" si="49"/>
        <v>1.6374256599088008</v>
      </c>
      <c r="J134">
        <f t="shared" si="49"/>
        <v>1.3474220205090877</v>
      </c>
      <c r="K134">
        <f t="shared" si="49"/>
        <v>2.9601250240842627</v>
      </c>
    </row>
    <row r="135" spans="1:18" x14ac:dyDescent="0.35">
      <c r="B135" s="2"/>
      <c r="C135" s="2" t="s">
        <v>56</v>
      </c>
      <c r="D135">
        <f>D134-C132</f>
        <v>1.7408569002304901</v>
      </c>
      <c r="E135">
        <f>E134</f>
        <v>13.78629858777019</v>
      </c>
      <c r="F135">
        <f t="shared" si="49"/>
        <v>5.7995427201301624</v>
      </c>
      <c r="G135">
        <f t="shared" si="49"/>
        <v>18.127196163644538</v>
      </c>
      <c r="H135">
        <f t="shared" si="49"/>
        <v>2.9867626469140034</v>
      </c>
      <c r="I135">
        <f t="shared" si="49"/>
        <v>1.6374256599088008</v>
      </c>
      <c r="J135">
        <f t="shared" si="49"/>
        <v>1.3474220205090877</v>
      </c>
      <c r="K135">
        <f t="shared" si="49"/>
        <v>2.9601250240842627</v>
      </c>
    </row>
    <row r="136" spans="1:18" x14ac:dyDescent="0.35">
      <c r="B136" s="2"/>
      <c r="C136" s="2" t="s">
        <v>49</v>
      </c>
      <c r="D136">
        <f>D135</f>
        <v>1.7408569002304901</v>
      </c>
      <c r="E136">
        <f t="shared" ref="E136" si="50">E135</f>
        <v>13.78629858777019</v>
      </c>
      <c r="F136">
        <f t="shared" si="49"/>
        <v>5.7995427201301624</v>
      </c>
      <c r="G136" s="11">
        <f>G135-C132</f>
        <v>1.4605294969778697</v>
      </c>
      <c r="H136">
        <f t="shared" si="49"/>
        <v>2.9867626469140034</v>
      </c>
      <c r="I136">
        <f t="shared" si="49"/>
        <v>1.6374256599088008</v>
      </c>
      <c r="J136">
        <f t="shared" si="49"/>
        <v>1.3474220205090877</v>
      </c>
      <c r="K136">
        <f t="shared" si="49"/>
        <v>2.9601250240842627</v>
      </c>
    </row>
    <row r="137" spans="1:18" x14ac:dyDescent="0.35">
      <c r="B137" s="2" t="s">
        <v>71</v>
      </c>
      <c r="D137">
        <f>D136+($J136*0)</f>
        <v>1.7408569002304901</v>
      </c>
      <c r="E137">
        <f>E136+($J136*0)</f>
        <v>13.78629858777019</v>
      </c>
      <c r="F137">
        <f>F136+($J136*0)</f>
        <v>5.7995427201301624</v>
      </c>
      <c r="G137">
        <f>G136+($J136*0.152)</f>
        <v>1.665337644095251</v>
      </c>
      <c r="H137">
        <f>H136+($J136*0)</f>
        <v>2.9867626469140034</v>
      </c>
      <c r="I137">
        <f>I136+($J136*0.3052)</f>
        <v>2.0486588605681746</v>
      </c>
      <c r="J137" s="13"/>
      <c r="K137">
        <f>K136+($J136*0.2892)</f>
        <v>3.3497994724154907</v>
      </c>
    </row>
    <row r="138" spans="1:18" x14ac:dyDescent="0.35">
      <c r="B138" s="2" t="s">
        <v>80</v>
      </c>
      <c r="D138">
        <f>D137+($G137*0.1061)</f>
        <v>1.9175492242689962</v>
      </c>
      <c r="E138">
        <f>E137+($G137*0.5659)</f>
        <v>14.728713160563693</v>
      </c>
      <c r="F138">
        <f>F137+($G137*0.0197)</f>
        <v>5.8323498717188391</v>
      </c>
      <c r="G138" s="13"/>
      <c r="H138">
        <f>H137+($G137*0.24)</f>
        <v>3.3864436814968637</v>
      </c>
      <c r="I138">
        <f>I137+($G137*0)</f>
        <v>2.0486588605681746</v>
      </c>
      <c r="J138" s="13"/>
      <c r="K138">
        <f t="shared" ref="K138" si="51">K137+($G137*0)</f>
        <v>3.3497994724154907</v>
      </c>
    </row>
    <row r="139" spans="1:18" x14ac:dyDescent="0.35">
      <c r="B139" s="2" t="s">
        <v>82</v>
      </c>
      <c r="D139" s="13"/>
      <c r="E139">
        <f>E138+(D138*0.2701)</f>
        <v>15.246643206038749</v>
      </c>
      <c r="F139">
        <f>F138+(D138*0.0891)</f>
        <v>6.0032035076012065</v>
      </c>
      <c r="G139" s="13"/>
      <c r="H139">
        <f>H138+(D138*0.0912)</f>
        <v>3.5613241707501961</v>
      </c>
      <c r="I139">
        <f>I138+(D138*0.0837)</f>
        <v>2.2091577306394896</v>
      </c>
      <c r="J139" s="13"/>
      <c r="K139">
        <f>K138+(D138*0.1863)</f>
        <v>3.7070388928968048</v>
      </c>
    </row>
    <row r="140" spans="1:18" x14ac:dyDescent="0.35">
      <c r="B140" s="2" t="s">
        <v>79</v>
      </c>
      <c r="D140" s="13"/>
      <c r="E140">
        <f>E139+($I139*0)</f>
        <v>15.246643206038749</v>
      </c>
      <c r="F140">
        <f>F139+($I139*0.058)</f>
        <v>6.1313346559782973</v>
      </c>
      <c r="G140" s="13"/>
      <c r="H140">
        <f>H139+($I139*0.0726)</f>
        <v>3.7217090219946232</v>
      </c>
      <c r="I140" s="13"/>
      <c r="J140" s="13"/>
      <c r="K140">
        <f>K139+($I139*0.1386)</f>
        <v>4.0132281543634383</v>
      </c>
    </row>
    <row r="141" spans="1:18" x14ac:dyDescent="0.35">
      <c r="B141" s="2" t="s">
        <v>60</v>
      </c>
      <c r="D141" s="13"/>
      <c r="E141">
        <f>E140+($H140*0.2754)</f>
        <v>16.271601870696067</v>
      </c>
      <c r="F141">
        <f>F140+($H140*0.0436)</f>
        <v>6.2936011693372631</v>
      </c>
      <c r="G141" s="13"/>
      <c r="H141" s="13"/>
      <c r="I141" s="13"/>
      <c r="J141" s="13"/>
      <c r="K141">
        <f t="shared" ref="K141" si="52">K140+($H140*0)</f>
        <v>4.0132281543634383</v>
      </c>
    </row>
    <row r="142" spans="1:18" x14ac:dyDescent="0.35">
      <c r="B142" s="2" t="s">
        <v>51</v>
      </c>
      <c r="D142" s="13"/>
      <c r="E142">
        <f>E141+($K141*0.0288)</f>
        <v>16.387182841541733</v>
      </c>
      <c r="F142">
        <f>F141+($K141*0.0345)</f>
        <v>6.432057540662802</v>
      </c>
      <c r="G142" s="13"/>
      <c r="H142" s="13"/>
      <c r="I142" s="13"/>
      <c r="J142" s="13"/>
      <c r="K142" s="13"/>
    </row>
    <row r="143" spans="1:18" x14ac:dyDescent="0.35">
      <c r="B143" s="2" t="s">
        <v>54</v>
      </c>
      <c r="D143" s="13"/>
      <c r="E143">
        <f>E142+($F142*0.3462)</f>
        <v>18.613961162119196</v>
      </c>
      <c r="F143" s="13"/>
      <c r="G143" s="13"/>
      <c r="H143" s="13"/>
      <c r="I143" s="13"/>
      <c r="J143" s="13"/>
      <c r="K143" s="13"/>
    </row>
    <row r="144" spans="1:18" x14ac:dyDescent="0.35">
      <c r="C144" s="2" t="s">
        <v>26</v>
      </c>
      <c r="D144" s="13"/>
      <c r="E144" s="11">
        <f>E143-C132</f>
        <v>1.9472944954525282</v>
      </c>
      <c r="F144" s="13"/>
      <c r="G144" s="13"/>
      <c r="H144" s="13"/>
      <c r="I144" s="13"/>
      <c r="J144" s="13"/>
      <c r="K144" s="13"/>
    </row>
    <row r="146" spans="1:18" x14ac:dyDescent="0.35">
      <c r="A146" t="s">
        <v>15</v>
      </c>
      <c r="B146">
        <v>5</v>
      </c>
      <c r="C146">
        <f>100/(B146+1)</f>
        <v>16.666666666666668</v>
      </c>
      <c r="D146" s="6">
        <v>0.40357071891334756</v>
      </c>
      <c r="E146" s="6">
        <v>0.28450765294853853</v>
      </c>
      <c r="F146" s="6">
        <v>5.4166020025031285E-2</v>
      </c>
      <c r="G146" s="6">
        <v>0.16015595045277184</v>
      </c>
      <c r="H146" s="6">
        <v>2.8715322461900904E-2</v>
      </c>
      <c r="I146" s="6">
        <v>1.7491999190164177E-2</v>
      </c>
      <c r="J146" s="6">
        <v>1.164544467348892E-2</v>
      </c>
      <c r="K146" s="6">
        <v>2.3457262754914228E-2</v>
      </c>
      <c r="L146" s="9">
        <v>4.8222042258705732E-3</v>
      </c>
      <c r="M146" s="9">
        <v>1.4172126923360083E-3</v>
      </c>
      <c r="N146" s="9">
        <v>2.2086431568872854E-3</v>
      </c>
      <c r="O146" s="9">
        <v>5.0246631819185743E-3</v>
      </c>
      <c r="P146" s="9">
        <v>6.8099830670691306E-4</v>
      </c>
      <c r="Q146" s="9">
        <v>2.1350217183243761E-3</v>
      </c>
      <c r="R146" s="9">
        <v>0</v>
      </c>
    </row>
    <row r="147" spans="1:18" x14ac:dyDescent="0.35">
      <c r="A147" s="2" t="s">
        <v>78</v>
      </c>
      <c r="B147" s="12" t="s">
        <v>59</v>
      </c>
      <c r="C147" s="2" t="s">
        <v>56</v>
      </c>
      <c r="D147" s="11">
        <f>(D146*100)-C146</f>
        <v>23.690405224668087</v>
      </c>
      <c r="E147">
        <f t="shared" ref="E147:K147" si="53">E146*100</f>
        <v>28.450765294853852</v>
      </c>
      <c r="F147">
        <f t="shared" si="53"/>
        <v>5.4166020025031285</v>
      </c>
      <c r="G147">
        <f t="shared" si="53"/>
        <v>16.015595045277184</v>
      </c>
      <c r="H147">
        <f t="shared" si="53"/>
        <v>2.8715322461900903</v>
      </c>
      <c r="I147">
        <f t="shared" si="53"/>
        <v>1.7491999190164178</v>
      </c>
      <c r="J147">
        <f t="shared" si="53"/>
        <v>1.1645444673488921</v>
      </c>
      <c r="K147">
        <f t="shared" si="53"/>
        <v>2.345726275491423</v>
      </c>
    </row>
    <row r="148" spans="1:18" x14ac:dyDescent="0.35">
      <c r="C148" s="2" t="s">
        <v>26</v>
      </c>
      <c r="D148">
        <f>D147</f>
        <v>23.690405224668087</v>
      </c>
      <c r="E148" s="11">
        <f>E147-C146</f>
        <v>11.784098628187184</v>
      </c>
      <c r="F148">
        <f t="shared" ref="F148:K149" si="54">F147</f>
        <v>5.4166020025031285</v>
      </c>
      <c r="G148">
        <f t="shared" si="54"/>
        <v>16.015595045277184</v>
      </c>
      <c r="H148">
        <f t="shared" si="54"/>
        <v>2.8715322461900903</v>
      </c>
      <c r="I148">
        <f t="shared" si="54"/>
        <v>1.7491999190164178</v>
      </c>
      <c r="J148">
        <f t="shared" si="54"/>
        <v>1.1645444673488921</v>
      </c>
      <c r="K148">
        <f t="shared" si="54"/>
        <v>2.345726275491423</v>
      </c>
    </row>
    <row r="149" spans="1:18" x14ac:dyDescent="0.35">
      <c r="C149" s="2" t="s">
        <v>56</v>
      </c>
      <c r="D149" s="11">
        <f>D148-C146</f>
        <v>7.0237385580014191</v>
      </c>
      <c r="E149">
        <f t="shared" ref="E149" si="55">E148</f>
        <v>11.784098628187184</v>
      </c>
      <c r="F149">
        <f t="shared" si="54"/>
        <v>5.4166020025031285</v>
      </c>
      <c r="G149">
        <f t="shared" si="54"/>
        <v>16.015595045277184</v>
      </c>
      <c r="H149">
        <f t="shared" si="54"/>
        <v>2.8715322461900903</v>
      </c>
      <c r="I149">
        <f t="shared" si="54"/>
        <v>1.7491999190164178</v>
      </c>
      <c r="J149">
        <f t="shared" si="54"/>
        <v>1.1645444673488921</v>
      </c>
      <c r="K149">
        <f t="shared" si="54"/>
        <v>2.345726275491423</v>
      </c>
    </row>
    <row r="150" spans="1:18" x14ac:dyDescent="0.35">
      <c r="B150" s="2" t="s">
        <v>52</v>
      </c>
      <c r="D150">
        <f>D149+($J149*0)</f>
        <v>7.0237385580014191</v>
      </c>
      <c r="E150">
        <f>E149+($J149*0)</f>
        <v>11.784098628187184</v>
      </c>
      <c r="F150">
        <f>F149+($J149*0)</f>
        <v>5.4166020025031285</v>
      </c>
      <c r="G150">
        <f>G149+($J149*0.152)</f>
        <v>16.192605804314216</v>
      </c>
      <c r="H150">
        <f>H149+($J149*0)</f>
        <v>2.8715322461900903</v>
      </c>
      <c r="I150">
        <f>I149+($J149*0.3052)</f>
        <v>2.1046188904512997</v>
      </c>
      <c r="J150" s="13"/>
      <c r="K150">
        <f>K149+($J149*0.2892)</f>
        <v>2.6825125354487227</v>
      </c>
    </row>
    <row r="151" spans="1:18" x14ac:dyDescent="0.35">
      <c r="B151" s="2" t="s">
        <v>50</v>
      </c>
      <c r="D151">
        <f>D150+($I150*0.2936)</f>
        <v>7.6416546642379206</v>
      </c>
      <c r="E151">
        <f>E150+($I150*0)</f>
        <v>11.784098628187184</v>
      </c>
      <c r="F151">
        <f>F150+($I150*0.058)</f>
        <v>5.5386698981493039</v>
      </c>
      <c r="G151">
        <f t="shared" ref="G151" si="56">G150+($I150*0)</f>
        <v>16.192605804314216</v>
      </c>
      <c r="H151">
        <f>H150+($I150*0.0726)</f>
        <v>3.0243275776368548</v>
      </c>
      <c r="I151" s="13"/>
      <c r="J151" s="13"/>
      <c r="K151">
        <f>K150+($I150*0.1386)</f>
        <v>2.9742127136652727</v>
      </c>
    </row>
    <row r="152" spans="1:18" x14ac:dyDescent="0.35">
      <c r="B152" s="2" t="s">
        <v>51</v>
      </c>
      <c r="D152">
        <f>D151+($K151*0.4066)</f>
        <v>8.8509695536142203</v>
      </c>
      <c r="E152">
        <f>E151+($K151*0.0288)</f>
        <v>11.869755954340745</v>
      </c>
      <c r="F152">
        <f>F151+($K151*0.0345)</f>
        <v>5.641280236770756</v>
      </c>
      <c r="G152">
        <f t="shared" ref="G152:H152" si="57">G151+($K151*0)</f>
        <v>16.192605804314216</v>
      </c>
      <c r="H152">
        <f t="shared" si="57"/>
        <v>3.0243275776368548</v>
      </c>
      <c r="I152" s="13"/>
      <c r="J152" s="13"/>
      <c r="K152" s="13"/>
    </row>
    <row r="153" spans="1:18" x14ac:dyDescent="0.35">
      <c r="B153" s="2" t="s">
        <v>60</v>
      </c>
      <c r="D153">
        <f>D152+($H152*0)</f>
        <v>8.8509695536142203</v>
      </c>
      <c r="E153">
        <f>E152+($H152*0.2754)</f>
        <v>12.702655769221934</v>
      </c>
      <c r="F153">
        <f>F152+($H152*0.0436)</f>
        <v>5.7731409191557228</v>
      </c>
      <c r="G153">
        <f>G152+($H152*0.4247)</f>
        <v>17.477037726536587</v>
      </c>
      <c r="H153" s="13"/>
      <c r="I153" s="13"/>
      <c r="J153" s="13"/>
      <c r="K153" s="13"/>
    </row>
    <row r="154" spans="1:18" x14ac:dyDescent="0.35">
      <c r="B154" s="2"/>
      <c r="C154" s="2" t="s">
        <v>49</v>
      </c>
      <c r="D154" s="13"/>
      <c r="E154">
        <f>E153</f>
        <v>12.702655769221934</v>
      </c>
      <c r="F154">
        <f>F153</f>
        <v>5.7731409191557228</v>
      </c>
      <c r="G154" s="11">
        <f>G153-C146</f>
        <v>0.81037105986991875</v>
      </c>
      <c r="H154" s="13"/>
      <c r="I154" s="13"/>
      <c r="J154" s="13"/>
      <c r="K154" s="13"/>
    </row>
    <row r="155" spans="1:18" x14ac:dyDescent="0.35">
      <c r="B155" s="2" t="s">
        <v>54</v>
      </c>
      <c r="D155" s="13"/>
      <c r="E155">
        <f>E154+($F154*0.3462)</f>
        <v>14.701317155433646</v>
      </c>
      <c r="F155" s="13"/>
      <c r="G155">
        <f>G154+($F154*0.1365)</f>
        <v>1.5984047953346749</v>
      </c>
      <c r="H155" s="13"/>
      <c r="I155" s="13"/>
      <c r="J155" s="13"/>
      <c r="K155" s="13"/>
    </row>
    <row r="156" spans="1:18" x14ac:dyDescent="0.35">
      <c r="C156" s="2" t="s">
        <v>26</v>
      </c>
      <c r="D156" s="13"/>
      <c r="E156" s="11">
        <f>E155-C146</f>
        <v>-1.9653495112330219</v>
      </c>
      <c r="F156" s="13"/>
      <c r="G156">
        <f>G155</f>
        <v>1.5984047953346749</v>
      </c>
      <c r="H156" s="13"/>
      <c r="I156" s="13"/>
      <c r="J156" s="13"/>
      <c r="K156" s="13"/>
    </row>
    <row r="158" spans="1:18" x14ac:dyDescent="0.35">
      <c r="A158" t="s">
        <v>16</v>
      </c>
      <c r="B158">
        <v>5</v>
      </c>
      <c r="C158">
        <f>100/(B158+1)</f>
        <v>16.666666666666668</v>
      </c>
      <c r="D158" s="6">
        <v>0.19528452519540992</v>
      </c>
      <c r="E158" s="6">
        <v>0.44848210751704642</v>
      </c>
      <c r="F158" s="6">
        <v>5.225807833028439E-2</v>
      </c>
      <c r="G158" s="6">
        <v>0.16615793696989856</v>
      </c>
      <c r="H158" s="6">
        <v>3.9783504490271085E-2</v>
      </c>
      <c r="I158" s="6">
        <v>1.9585681024447035E-2</v>
      </c>
      <c r="J158" s="6">
        <v>9.2974180941293848E-3</v>
      </c>
      <c r="K158" s="6">
        <v>3.3915807417262599E-2</v>
      </c>
      <c r="L158" s="9">
        <v>7.3590553800099781E-3</v>
      </c>
      <c r="M158" s="9">
        <v>1.1766173291202395E-2</v>
      </c>
      <c r="N158" s="9">
        <v>2.8272077166140029E-3</v>
      </c>
      <c r="O158" s="9">
        <v>5.321802760685182E-3</v>
      </c>
      <c r="P158" s="9">
        <v>1.9956760352569432E-3</v>
      </c>
      <c r="Q158" s="9">
        <v>3.7626808581406952E-3</v>
      </c>
      <c r="R158" s="9">
        <v>2.2035589555962081E-3</v>
      </c>
    </row>
    <row r="159" spans="1:18" x14ac:dyDescent="0.35">
      <c r="A159" s="2" t="s">
        <v>69</v>
      </c>
      <c r="B159" s="12" t="s">
        <v>59</v>
      </c>
      <c r="C159" s="2" t="s">
        <v>26</v>
      </c>
      <c r="D159">
        <f>D158*100</f>
        <v>19.528452519540991</v>
      </c>
      <c r="E159" s="11">
        <f>(E158*100)-C158</f>
        <v>28.181544085037974</v>
      </c>
      <c r="F159">
        <f t="shared" ref="F159:K159" si="58">F158*100</f>
        <v>5.2258078330284388</v>
      </c>
      <c r="G159">
        <f t="shared" si="58"/>
        <v>16.615793696989854</v>
      </c>
      <c r="H159">
        <f t="shared" si="58"/>
        <v>3.9783504490271087</v>
      </c>
      <c r="I159">
        <f t="shared" si="58"/>
        <v>1.9585681024447035</v>
      </c>
      <c r="J159">
        <f t="shared" si="58"/>
        <v>0.92974180941293849</v>
      </c>
      <c r="K159">
        <f t="shared" si="58"/>
        <v>3.3915807417262598</v>
      </c>
    </row>
    <row r="160" spans="1:18" x14ac:dyDescent="0.35">
      <c r="C160" s="2" t="s">
        <v>26</v>
      </c>
      <c r="D160">
        <f>D159</f>
        <v>19.528452519540991</v>
      </c>
      <c r="E160" s="11">
        <f>E159-C158</f>
        <v>11.514877418371306</v>
      </c>
      <c r="F160">
        <f t="shared" ref="F160:K161" si="59">F159</f>
        <v>5.2258078330284388</v>
      </c>
      <c r="G160">
        <f t="shared" si="59"/>
        <v>16.615793696989854</v>
      </c>
      <c r="H160">
        <f t="shared" si="59"/>
        <v>3.9783504490271087</v>
      </c>
      <c r="I160">
        <f t="shared" si="59"/>
        <v>1.9585681024447035</v>
      </c>
      <c r="J160">
        <f t="shared" si="59"/>
        <v>0.92974180941293849</v>
      </c>
      <c r="K160">
        <f t="shared" si="59"/>
        <v>3.3915807417262598</v>
      </c>
    </row>
    <row r="161" spans="1:18" x14ac:dyDescent="0.35">
      <c r="B161" s="2"/>
      <c r="C161" s="2" t="s">
        <v>56</v>
      </c>
      <c r="D161" s="11">
        <f>D160-C158</f>
        <v>2.8617858528743234</v>
      </c>
      <c r="E161">
        <f>E160</f>
        <v>11.514877418371306</v>
      </c>
      <c r="F161">
        <f t="shared" si="59"/>
        <v>5.2258078330284388</v>
      </c>
      <c r="G161">
        <f t="shared" si="59"/>
        <v>16.615793696989854</v>
      </c>
      <c r="H161">
        <f t="shared" si="59"/>
        <v>3.9783504490271087</v>
      </c>
      <c r="I161">
        <f t="shared" si="59"/>
        <v>1.9585681024447035</v>
      </c>
      <c r="J161">
        <f>J160</f>
        <v>0.92974180941293849</v>
      </c>
      <c r="K161">
        <f t="shared" si="59"/>
        <v>3.3915807417262598</v>
      </c>
    </row>
    <row r="162" spans="1:18" x14ac:dyDescent="0.35">
      <c r="B162" s="2" t="s">
        <v>52</v>
      </c>
      <c r="D162">
        <f>D161+($J161*0)</f>
        <v>2.8617858528743234</v>
      </c>
      <c r="E162">
        <f t="shared" ref="E162:F162" si="60">E161+($J161*0)</f>
        <v>11.514877418371306</v>
      </c>
      <c r="F162">
        <f t="shared" si="60"/>
        <v>5.2258078330284388</v>
      </c>
      <c r="G162">
        <f>G161+($J161*0.152)</f>
        <v>16.75711445202062</v>
      </c>
      <c r="H162">
        <f t="shared" ref="H162" si="61">H161+($J161*0)</f>
        <v>3.9783504490271087</v>
      </c>
      <c r="I162">
        <f>I161+($J161*0.3052)</f>
        <v>2.2423253026775325</v>
      </c>
      <c r="J162" s="13"/>
      <c r="K162">
        <f>K161+($J161*0.2892)</f>
        <v>3.6604620730084818</v>
      </c>
    </row>
    <row r="163" spans="1:18" x14ac:dyDescent="0.35">
      <c r="C163" t="s">
        <v>49</v>
      </c>
      <c r="D163">
        <f>D162</f>
        <v>2.8617858528743234</v>
      </c>
      <c r="E163">
        <f t="shared" ref="E163:K163" si="62">E162</f>
        <v>11.514877418371306</v>
      </c>
      <c r="F163">
        <f t="shared" si="62"/>
        <v>5.2258078330284388</v>
      </c>
      <c r="G163" s="11">
        <f>G162-C158</f>
        <v>9.0447785353951815E-2</v>
      </c>
      <c r="H163">
        <f t="shared" si="62"/>
        <v>3.9783504490271087</v>
      </c>
      <c r="I163">
        <f t="shared" si="62"/>
        <v>2.2423253026775325</v>
      </c>
      <c r="J163" s="13"/>
      <c r="K163">
        <f t="shared" si="62"/>
        <v>3.6604620730084818</v>
      </c>
    </row>
    <row r="164" spans="1:18" x14ac:dyDescent="0.35">
      <c r="B164" s="2" t="s">
        <v>76</v>
      </c>
      <c r="D164">
        <f>D163+($G163*0)</f>
        <v>2.8617858528743234</v>
      </c>
      <c r="E164">
        <f>E163+($G163*0.4615)</f>
        <v>11.556619071312154</v>
      </c>
      <c r="F164">
        <f>F163+($G163*0.0129)</f>
        <v>5.2269746094595044</v>
      </c>
      <c r="G164" s="13"/>
      <c r="H164">
        <f>H163+($G163*0.3775)</f>
        <v>4.0124944879982252</v>
      </c>
      <c r="I164" s="13"/>
      <c r="J164" s="13"/>
      <c r="K164">
        <f t="shared" ref="K164" si="63">K163+($G163*0)</f>
        <v>3.6604620730084818</v>
      </c>
    </row>
    <row r="165" spans="1:18" x14ac:dyDescent="0.35">
      <c r="B165" s="2" t="s">
        <v>72</v>
      </c>
      <c r="D165" s="13"/>
      <c r="E165">
        <f>E164+($D164*0.0985)</f>
        <v>11.838504977820275</v>
      </c>
      <c r="F165">
        <f>F164+($D164*0.1445)</f>
        <v>5.6405026651998442</v>
      </c>
      <c r="G165" s="13"/>
      <c r="H165">
        <f>H164+($D164*0.0441)</f>
        <v>4.1386992441099828</v>
      </c>
      <c r="I165" s="13"/>
      <c r="J165" s="13"/>
    </row>
    <row r="166" spans="1:18" x14ac:dyDescent="0.35">
      <c r="B166" s="2" t="s">
        <v>60</v>
      </c>
      <c r="D166" s="13"/>
      <c r="E166">
        <f>E165+(H165*0.2754)</f>
        <v>12.978302749648163</v>
      </c>
      <c r="F166">
        <f>F165+(I165*0.0436)</f>
        <v>5.6405026651998442</v>
      </c>
      <c r="G166" s="13"/>
      <c r="H166" s="13"/>
      <c r="I166" s="13"/>
      <c r="J166" s="13"/>
      <c r="K166" s="13"/>
    </row>
    <row r="167" spans="1:18" x14ac:dyDescent="0.35">
      <c r="B167" s="2"/>
      <c r="C167" s="2" t="s">
        <v>26</v>
      </c>
      <c r="D167" s="13"/>
      <c r="E167" s="11">
        <f>E166-C158</f>
        <v>-3.6883639170185045</v>
      </c>
      <c r="F167">
        <f>F166</f>
        <v>5.6405026651998442</v>
      </c>
      <c r="G167" s="13"/>
      <c r="H167" s="13"/>
      <c r="I167" s="13"/>
      <c r="J167" s="13"/>
      <c r="K167" s="13"/>
    </row>
    <row r="169" spans="1:18" x14ac:dyDescent="0.35">
      <c r="A169" s="2" t="s">
        <v>17</v>
      </c>
      <c r="B169">
        <v>5</v>
      </c>
      <c r="C169">
        <v>16.666666666666668</v>
      </c>
      <c r="D169" s="6">
        <v>0.36048491979839409</v>
      </c>
      <c r="E169" s="6">
        <v>0.35512088308004824</v>
      </c>
      <c r="F169" s="6">
        <v>6.7310553649795893E-2</v>
      </c>
      <c r="G169" s="6">
        <v>9.7766418811444766E-2</v>
      </c>
      <c r="H169" s="6">
        <v>3.3396155688852264E-2</v>
      </c>
      <c r="I169" s="6">
        <v>2.0804398152584277E-2</v>
      </c>
      <c r="J169" s="6">
        <v>1.5058962074318238E-2</v>
      </c>
      <c r="K169" s="6">
        <v>3.1369425653015461E-2</v>
      </c>
      <c r="L169" s="9">
        <v>4.2544221076637094E-3</v>
      </c>
      <c r="M169" s="9">
        <v>2.012226672543646E-3</v>
      </c>
      <c r="N169" s="9">
        <v>2.7021329602728962E-3</v>
      </c>
      <c r="O169" s="9">
        <v>6.1899925260152167E-3</v>
      </c>
      <c r="P169" s="9">
        <v>1.0156953680458404E-3</v>
      </c>
      <c r="Q169" s="9">
        <v>2.5104923247925492E-3</v>
      </c>
      <c r="R169" s="9">
        <v>0</v>
      </c>
    </row>
    <row r="170" spans="1:18" x14ac:dyDescent="0.35">
      <c r="A170" s="2" t="s">
        <v>83</v>
      </c>
      <c r="B170" s="10" t="s">
        <v>99</v>
      </c>
      <c r="C170" s="2" t="s">
        <v>56</v>
      </c>
      <c r="D170" s="11">
        <f>(D169*100)-C169</f>
        <v>19.381825313172744</v>
      </c>
      <c r="E170">
        <f t="shared" ref="E170:K170" si="64">E169*100</f>
        <v>35.512088308004827</v>
      </c>
      <c r="F170">
        <f t="shared" si="64"/>
        <v>6.7310553649795892</v>
      </c>
      <c r="G170">
        <f t="shared" si="64"/>
        <v>9.7766418811444762</v>
      </c>
      <c r="H170">
        <f t="shared" si="64"/>
        <v>3.3396155688852263</v>
      </c>
      <c r="I170">
        <f t="shared" si="64"/>
        <v>2.0804398152584276</v>
      </c>
      <c r="J170">
        <f t="shared" si="64"/>
        <v>1.5058962074318238</v>
      </c>
      <c r="K170">
        <f t="shared" si="64"/>
        <v>3.1369425653015459</v>
      </c>
    </row>
    <row r="171" spans="1:18" x14ac:dyDescent="0.35">
      <c r="C171" s="2" t="s">
        <v>26</v>
      </c>
      <c r="D171">
        <f>D170</f>
        <v>19.381825313172744</v>
      </c>
      <c r="E171" s="11">
        <f>E170-C169</f>
        <v>18.845421641338159</v>
      </c>
      <c r="F171">
        <f t="shared" ref="F171:K173" si="65">F170</f>
        <v>6.7310553649795892</v>
      </c>
      <c r="G171">
        <f t="shared" si="65"/>
        <v>9.7766418811444762</v>
      </c>
      <c r="H171">
        <f t="shared" si="65"/>
        <v>3.3396155688852263</v>
      </c>
      <c r="I171">
        <f t="shared" si="65"/>
        <v>2.0804398152584276</v>
      </c>
      <c r="J171">
        <f t="shared" si="65"/>
        <v>1.5058962074318238</v>
      </c>
      <c r="K171">
        <f t="shared" si="65"/>
        <v>3.1369425653015459</v>
      </c>
    </row>
    <row r="172" spans="1:18" x14ac:dyDescent="0.35">
      <c r="C172" s="2" t="s">
        <v>56</v>
      </c>
      <c r="D172" s="11">
        <f>D171-C169</f>
        <v>2.715158646506076</v>
      </c>
      <c r="E172">
        <f t="shared" ref="E172" si="66">E171</f>
        <v>18.845421641338159</v>
      </c>
      <c r="F172">
        <f t="shared" si="65"/>
        <v>6.7310553649795892</v>
      </c>
      <c r="G172">
        <f t="shared" si="65"/>
        <v>9.7766418811444762</v>
      </c>
      <c r="H172">
        <f t="shared" si="65"/>
        <v>3.3396155688852263</v>
      </c>
      <c r="I172">
        <f t="shared" si="65"/>
        <v>2.0804398152584276</v>
      </c>
      <c r="J172">
        <f t="shared" si="65"/>
        <v>1.5058962074318238</v>
      </c>
      <c r="K172">
        <f t="shared" si="65"/>
        <v>3.1369425653015459</v>
      </c>
    </row>
    <row r="173" spans="1:18" x14ac:dyDescent="0.35">
      <c r="C173" s="2" t="s">
        <v>26</v>
      </c>
      <c r="D173">
        <f>D172</f>
        <v>2.715158646506076</v>
      </c>
      <c r="E173" s="11">
        <f>E172-C169</f>
        <v>2.1787549746714916</v>
      </c>
      <c r="F173">
        <f t="shared" si="65"/>
        <v>6.7310553649795892</v>
      </c>
      <c r="G173">
        <f t="shared" si="65"/>
        <v>9.7766418811444762</v>
      </c>
      <c r="H173">
        <f t="shared" si="65"/>
        <v>3.3396155688852263</v>
      </c>
      <c r="I173">
        <f t="shared" si="65"/>
        <v>2.0804398152584276</v>
      </c>
      <c r="J173">
        <f t="shared" si="65"/>
        <v>1.5058962074318238</v>
      </c>
      <c r="K173">
        <f t="shared" si="65"/>
        <v>3.1369425653015459</v>
      </c>
    </row>
    <row r="174" spans="1:18" x14ac:dyDescent="0.35">
      <c r="B174" s="2" t="s">
        <v>52</v>
      </c>
      <c r="D174">
        <f>D173+($J173*0)</f>
        <v>2.715158646506076</v>
      </c>
      <c r="E174">
        <f t="shared" ref="E174:H174" si="67">E173+($J173*0)</f>
        <v>2.1787549746714916</v>
      </c>
      <c r="F174">
        <f t="shared" si="67"/>
        <v>6.7310553649795892</v>
      </c>
      <c r="G174">
        <f>G173+($J173*0.152)</f>
        <v>10.005538104674113</v>
      </c>
      <c r="H174">
        <f t="shared" si="67"/>
        <v>3.3396155688852263</v>
      </c>
      <c r="I174">
        <f>I173+($J173*0.3052)</f>
        <v>2.5400393377666202</v>
      </c>
      <c r="J174" s="13"/>
      <c r="K174">
        <f>K173+($J173*0.2892)</f>
        <v>3.5724477484908292</v>
      </c>
    </row>
    <row r="175" spans="1:18" x14ac:dyDescent="0.35">
      <c r="B175" s="2" t="s">
        <v>81</v>
      </c>
      <c r="D175">
        <f>D174+($E174*0.1311)</f>
        <v>3.0007934236855087</v>
      </c>
      <c r="E175" s="13"/>
      <c r="F175">
        <f>F174+($E174*0.2872)</f>
        <v>7.3567937937052417</v>
      </c>
      <c r="G175">
        <f>G174+($E174*0.3029)</f>
        <v>10.665482986502107</v>
      </c>
      <c r="H175">
        <f>H174+($E174*0.1219)</f>
        <v>3.6052058002976812</v>
      </c>
      <c r="I175">
        <f t="shared" ref="I175:K175" si="68">I174+($E174*0)</f>
        <v>2.5400393377666202</v>
      </c>
      <c r="J175" s="13"/>
      <c r="K175">
        <f t="shared" si="68"/>
        <v>3.5724477484908292</v>
      </c>
    </row>
    <row r="176" spans="1:18" x14ac:dyDescent="0.35">
      <c r="B176" s="2" t="s">
        <v>50</v>
      </c>
      <c r="D176">
        <f>D175+($I175*0.2936)</f>
        <v>3.7465489732537884</v>
      </c>
      <c r="E176" s="13"/>
      <c r="F176">
        <f>F175+($I175*0.058)</f>
        <v>7.5041160752957055</v>
      </c>
      <c r="G176">
        <f t="shared" ref="G176" si="69">G175+($I175*0)</f>
        <v>10.665482986502107</v>
      </c>
      <c r="H176">
        <f>H175+($I175*0.0726)</f>
        <v>3.7896126562195378</v>
      </c>
      <c r="I176" s="13"/>
      <c r="J176" s="13"/>
      <c r="K176">
        <f>K175+($I175*0.1386)</f>
        <v>3.9244972007052827</v>
      </c>
    </row>
    <row r="177" spans="1:18" x14ac:dyDescent="0.35">
      <c r="B177" s="2" t="s">
        <v>82</v>
      </c>
      <c r="D177" s="13"/>
      <c r="E177" s="13"/>
      <c r="F177">
        <f>F176+($H176*0.0891)</f>
        <v>7.8417705629648662</v>
      </c>
      <c r="G177">
        <f>G176+($H176*0.1132)</f>
        <v>11.094467139186159</v>
      </c>
      <c r="H177">
        <f>H176+($H176*0.0921)</f>
        <v>4.138635981857357</v>
      </c>
      <c r="I177" s="13"/>
      <c r="J177" s="13"/>
      <c r="K177">
        <f t="shared" ref="K177" si="70">K176+($H176*0)</f>
        <v>3.9244972007052827</v>
      </c>
    </row>
    <row r="178" spans="1:18" x14ac:dyDescent="0.35">
      <c r="B178" s="2" t="s">
        <v>51</v>
      </c>
      <c r="D178" s="13"/>
      <c r="E178" s="13"/>
      <c r="F178">
        <f>F177+($K177*0.0345)</f>
        <v>7.977165716389198</v>
      </c>
      <c r="G178">
        <f t="shared" ref="G178:H178" si="71">G177+($K177*0)</f>
        <v>11.094467139186159</v>
      </c>
      <c r="H178">
        <f t="shared" si="71"/>
        <v>4.138635981857357</v>
      </c>
      <c r="I178" s="13"/>
      <c r="J178" s="13"/>
      <c r="K178" s="13"/>
    </row>
    <row r="179" spans="1:18" x14ac:dyDescent="0.35">
      <c r="B179" s="2" t="s">
        <v>100</v>
      </c>
      <c r="D179" s="13"/>
      <c r="E179" s="13"/>
      <c r="F179">
        <f>F178+($H178*0.0436)</f>
        <v>8.1576102451981782</v>
      </c>
      <c r="G179">
        <f>G178+($H178*0.4247)</f>
        <v>12.852145840680979</v>
      </c>
      <c r="H179" s="13"/>
      <c r="I179" s="13"/>
      <c r="J179" s="13"/>
      <c r="K179" s="13"/>
    </row>
    <row r="180" spans="1:18" x14ac:dyDescent="0.35">
      <c r="C180" s="2" t="s">
        <v>49</v>
      </c>
      <c r="D180" s="13"/>
      <c r="E180" s="13"/>
      <c r="F180">
        <f>F179+($H179*0.0436)</f>
        <v>8.1576102451981782</v>
      </c>
      <c r="G180" s="11">
        <f>G179+($H179*0.4247)</f>
        <v>12.852145840680979</v>
      </c>
      <c r="H180" s="13"/>
      <c r="I180" s="13"/>
      <c r="J180" s="13"/>
      <c r="K180" s="13"/>
    </row>
    <row r="182" spans="1:18" x14ac:dyDescent="0.35">
      <c r="A182" t="s">
        <v>18</v>
      </c>
      <c r="B182">
        <v>4</v>
      </c>
      <c r="C182">
        <v>20</v>
      </c>
      <c r="D182" s="6">
        <v>0.28340303255826088</v>
      </c>
      <c r="E182" s="6">
        <v>0.2296554156251408</v>
      </c>
      <c r="F182" s="6">
        <v>4.1462046339334445E-2</v>
      </c>
      <c r="G182" s="6">
        <v>0.32487810671413242</v>
      </c>
      <c r="H182" s="6">
        <v>3.1551955928707347E-2</v>
      </c>
      <c r="I182" s="6">
        <v>1.5905793656403055E-2</v>
      </c>
      <c r="J182" s="6">
        <v>9.2399877996136876E-3</v>
      </c>
      <c r="K182" s="6">
        <v>2.539754359849351E-2</v>
      </c>
      <c r="L182" s="9">
        <v>7.1648118706942234E-3</v>
      </c>
      <c r="M182" s="9">
        <v>1.7996820349761525E-2</v>
      </c>
      <c r="N182" s="9">
        <v>2.4589295177530474E-3</v>
      </c>
      <c r="O182" s="9">
        <v>6.1473237943826175E-3</v>
      </c>
      <c r="P182" s="9">
        <v>5.2994170641229468E-4</v>
      </c>
      <c r="Q182" s="9">
        <v>7.4191838897721247E-4</v>
      </c>
      <c r="R182" s="9">
        <v>3.5612082670906202E-3</v>
      </c>
    </row>
    <row r="183" spans="1:18" x14ac:dyDescent="0.35">
      <c r="A183" s="2" t="s">
        <v>84</v>
      </c>
      <c r="B183" s="10" t="s">
        <v>99</v>
      </c>
      <c r="C183" s="2" t="s">
        <v>49</v>
      </c>
      <c r="D183">
        <f>D182*100</f>
        <v>28.34030325582609</v>
      </c>
      <c r="E183">
        <f t="shared" ref="E183:K183" si="72">E182*100</f>
        <v>22.96554156251408</v>
      </c>
      <c r="F183">
        <f t="shared" si="72"/>
        <v>4.1462046339334444</v>
      </c>
      <c r="G183" s="11">
        <f>(G182*100)-C182</f>
        <v>12.487810671413243</v>
      </c>
      <c r="H183">
        <f t="shared" si="72"/>
        <v>3.1551955928707347</v>
      </c>
      <c r="I183">
        <f t="shared" si="72"/>
        <v>1.5905793656403056</v>
      </c>
      <c r="J183">
        <f t="shared" si="72"/>
        <v>0.92399877996136881</v>
      </c>
      <c r="K183">
        <f t="shared" si="72"/>
        <v>2.5397543598493511</v>
      </c>
    </row>
    <row r="184" spans="1:18" x14ac:dyDescent="0.35">
      <c r="C184" s="2" t="s">
        <v>56</v>
      </c>
      <c r="D184" s="11">
        <f>D183-C182</f>
        <v>8.3403032558260897</v>
      </c>
      <c r="E184">
        <f t="shared" ref="E184:K185" si="73">E183</f>
        <v>22.96554156251408</v>
      </c>
      <c r="F184">
        <f t="shared" si="73"/>
        <v>4.1462046339334444</v>
      </c>
      <c r="G184">
        <f t="shared" si="73"/>
        <v>12.487810671413243</v>
      </c>
      <c r="H184">
        <f t="shared" si="73"/>
        <v>3.1551955928707347</v>
      </c>
      <c r="I184">
        <f t="shared" si="73"/>
        <v>1.5905793656403056</v>
      </c>
      <c r="J184">
        <f t="shared" si="73"/>
        <v>0.92399877996136881</v>
      </c>
      <c r="K184">
        <f t="shared" si="73"/>
        <v>2.5397543598493511</v>
      </c>
    </row>
    <row r="185" spans="1:18" x14ac:dyDescent="0.35">
      <c r="C185" s="2" t="s">
        <v>26</v>
      </c>
      <c r="D185">
        <f>D184</f>
        <v>8.3403032558260897</v>
      </c>
      <c r="E185" s="11">
        <f>E184-C182</f>
        <v>2.9655415625140797</v>
      </c>
      <c r="F185">
        <f t="shared" si="73"/>
        <v>4.1462046339334444</v>
      </c>
      <c r="G185">
        <f t="shared" si="73"/>
        <v>12.487810671413243</v>
      </c>
      <c r="H185">
        <f t="shared" si="73"/>
        <v>3.1551955928707347</v>
      </c>
      <c r="I185">
        <f t="shared" si="73"/>
        <v>1.5905793656403056</v>
      </c>
      <c r="J185">
        <f t="shared" si="73"/>
        <v>0.92399877996136881</v>
      </c>
      <c r="K185">
        <f t="shared" si="73"/>
        <v>2.5397543598493511</v>
      </c>
    </row>
    <row r="186" spans="1:18" x14ac:dyDescent="0.35">
      <c r="B186" s="2" t="s">
        <v>52</v>
      </c>
      <c r="D186">
        <f>D185+($J185*0)</f>
        <v>8.3403032558260897</v>
      </c>
      <c r="E186">
        <f t="shared" ref="E186:H186" si="74">E185+($J185*0)</f>
        <v>2.9655415625140797</v>
      </c>
      <c r="F186">
        <f t="shared" si="74"/>
        <v>4.1462046339334444</v>
      </c>
      <c r="G186">
        <f>G185+($J185*0.152)</f>
        <v>12.62825848596737</v>
      </c>
      <c r="H186">
        <f t="shared" si="74"/>
        <v>3.1551955928707347</v>
      </c>
      <c r="I186">
        <f>I185+($J185*0.3052)</f>
        <v>1.8725837932845153</v>
      </c>
      <c r="J186" s="13"/>
      <c r="K186">
        <f>K185+($J185*0.2892)</f>
        <v>2.8069748070141789</v>
      </c>
    </row>
    <row r="187" spans="1:18" x14ac:dyDescent="0.35">
      <c r="B187" s="2" t="s">
        <v>50</v>
      </c>
      <c r="D187">
        <f>D186+($I186*0.2936)</f>
        <v>8.8900938575344242</v>
      </c>
      <c r="E187">
        <f t="shared" ref="E187:G187" si="75">E186+($I186*0)</f>
        <v>2.9655415625140797</v>
      </c>
      <c r="F187">
        <f>F186+($I186*0.058)</f>
        <v>4.2548144939439467</v>
      </c>
      <c r="G187">
        <f t="shared" si="75"/>
        <v>12.62825848596737</v>
      </c>
      <c r="H187">
        <f>H186+($I186*0.0726)</f>
        <v>3.2911451762631905</v>
      </c>
      <c r="I187" s="13"/>
      <c r="J187" s="13"/>
      <c r="K187">
        <f>K186+($I186*0.1386)</f>
        <v>3.0665149207634128</v>
      </c>
    </row>
    <row r="188" spans="1:18" x14ac:dyDescent="0.35">
      <c r="B188" s="2" t="s">
        <v>101</v>
      </c>
      <c r="D188">
        <f>D187+($E187*((0.043+0.1311)/2))</f>
        <v>9.148244250551274</v>
      </c>
      <c r="E188" s="13"/>
      <c r="F188">
        <f>F187+($E187*((0.173+0.2872)/2))</f>
        <v>4.9371856074784368</v>
      </c>
      <c r="G188">
        <f>G187+($E187*((0.3574+0.3029)/2))</f>
        <v>13.607332032831394</v>
      </c>
      <c r="H188">
        <f>H187+($E187*((0.1368+0.1219)/2))</f>
        <v>3.6747379773743867</v>
      </c>
      <c r="I188" s="13"/>
      <c r="J188" s="13"/>
      <c r="K188">
        <f>K187+($E187*((0.0365+0)/2))</f>
        <v>3.1206360542792946</v>
      </c>
    </row>
    <row r="189" spans="1:18" x14ac:dyDescent="0.35">
      <c r="B189" s="2" t="s">
        <v>51</v>
      </c>
      <c r="D189">
        <f>D188+($K188*0.4066)</f>
        <v>10.417094870221234</v>
      </c>
      <c r="E189" s="13"/>
      <c r="F189">
        <f>F188+($K188*0.0345)</f>
        <v>5.0448475513510722</v>
      </c>
      <c r="G189">
        <f t="shared" ref="G189:H189" si="76">G188+($K188*0)</f>
        <v>13.607332032831394</v>
      </c>
      <c r="H189">
        <f t="shared" si="76"/>
        <v>3.6747379773743867</v>
      </c>
      <c r="I189" s="13"/>
      <c r="J189" s="13"/>
      <c r="K189" s="13"/>
    </row>
    <row r="190" spans="1:18" x14ac:dyDescent="0.35">
      <c r="B190" s="2" t="s">
        <v>60</v>
      </c>
      <c r="D190">
        <f>D189+($H189*0)</f>
        <v>10.417094870221234</v>
      </c>
      <c r="E190" s="13"/>
      <c r="F190">
        <f>F189+($H189*0.0436)</f>
        <v>5.2050661271645957</v>
      </c>
      <c r="G190">
        <f>G189+($H189*0.4247)</f>
        <v>15.167993251822296</v>
      </c>
      <c r="H190" s="13"/>
      <c r="I190" s="13"/>
      <c r="J190" s="13"/>
      <c r="K190" s="13"/>
    </row>
    <row r="191" spans="1:18" x14ac:dyDescent="0.35">
      <c r="B191" s="2" t="s">
        <v>85</v>
      </c>
      <c r="D191">
        <f>D190+($F190*0.0411)</f>
        <v>10.6310230880477</v>
      </c>
      <c r="E191" s="13"/>
      <c r="F191" s="13"/>
      <c r="G191">
        <f>G190+($F190*0.1365)</f>
        <v>15.878484778180264</v>
      </c>
      <c r="H191" s="13"/>
      <c r="I191" s="13"/>
      <c r="J191" s="13"/>
      <c r="K191" s="13"/>
    </row>
    <row r="192" spans="1:18" x14ac:dyDescent="0.35">
      <c r="C192" s="2" t="s">
        <v>49</v>
      </c>
      <c r="D192">
        <v>10.6310230880477</v>
      </c>
      <c r="E192" s="13"/>
      <c r="F192" s="13"/>
      <c r="G192" s="11">
        <v>15.878484778180264</v>
      </c>
      <c r="H192" s="13"/>
      <c r="I192" s="13"/>
      <c r="J192" s="13"/>
      <c r="K192" s="13"/>
    </row>
    <row r="194" spans="1:18" x14ac:dyDescent="0.35">
      <c r="A194" t="s">
        <v>19</v>
      </c>
      <c r="B194">
        <v>5</v>
      </c>
      <c r="C194">
        <v>16.666666666666668</v>
      </c>
      <c r="D194" s="6">
        <v>0.22321489052908847</v>
      </c>
      <c r="E194" s="6">
        <v>0.4280191751557611</v>
      </c>
      <c r="F194" s="6">
        <v>3.038074707695133E-2</v>
      </c>
      <c r="G194" s="6">
        <v>0.199924594187217</v>
      </c>
      <c r="H194" s="6">
        <v>2.517391609112038E-2</v>
      </c>
      <c r="I194" s="6">
        <v>2.6239027702760861E-2</v>
      </c>
      <c r="J194" s="6">
        <v>8.9285662769845019E-3</v>
      </c>
      <c r="K194" s="6">
        <v>3.0167776262335973E-2</v>
      </c>
      <c r="L194" s="9">
        <v>8.3579928225146378E-3</v>
      </c>
      <c r="M194" s="9">
        <v>3.5730025813763143E-3</v>
      </c>
      <c r="N194" s="9">
        <v>1.873071837814015E-3</v>
      </c>
      <c r="O194" s="9">
        <v>5.7608764087389028E-3</v>
      </c>
      <c r="P194" s="9">
        <v>1.6527104451300133E-3</v>
      </c>
      <c r="Q194" s="9">
        <v>3.793363974060316E-3</v>
      </c>
      <c r="R194" s="9">
        <v>3.0535792986211671E-3</v>
      </c>
    </row>
    <row r="195" spans="1:18" x14ac:dyDescent="0.35">
      <c r="A195" t="s">
        <v>86</v>
      </c>
      <c r="B195" s="10" t="s">
        <v>99</v>
      </c>
      <c r="C195" s="2" t="s">
        <v>26</v>
      </c>
      <c r="D195">
        <f>D194*100</f>
        <v>22.321489052908845</v>
      </c>
      <c r="E195" s="11">
        <f>(E194*100)-C194</f>
        <v>26.13525084890944</v>
      </c>
      <c r="F195">
        <f t="shared" ref="F195:K195" si="77">F194*100</f>
        <v>3.0380747076951331</v>
      </c>
      <c r="G195">
        <f t="shared" si="77"/>
        <v>19.992459418721701</v>
      </c>
      <c r="H195">
        <f t="shared" si="77"/>
        <v>2.5173916091120381</v>
      </c>
      <c r="I195">
        <f t="shared" si="77"/>
        <v>2.6239027702760862</v>
      </c>
      <c r="J195">
        <f t="shared" si="77"/>
        <v>0.8928566276984502</v>
      </c>
      <c r="K195">
        <f t="shared" si="77"/>
        <v>3.0167776262335972</v>
      </c>
    </row>
    <row r="196" spans="1:18" x14ac:dyDescent="0.35">
      <c r="C196" s="2" t="s">
        <v>26</v>
      </c>
      <c r="D196">
        <f>D195</f>
        <v>22.321489052908845</v>
      </c>
      <c r="E196" s="11">
        <f>E195-C194</f>
        <v>9.4685841822427719</v>
      </c>
      <c r="F196">
        <f t="shared" ref="F196:K198" si="78">F195</f>
        <v>3.0380747076951331</v>
      </c>
      <c r="G196">
        <f t="shared" si="78"/>
        <v>19.992459418721701</v>
      </c>
      <c r="H196">
        <f t="shared" si="78"/>
        <v>2.5173916091120381</v>
      </c>
      <c r="I196">
        <f t="shared" si="78"/>
        <v>2.6239027702760862</v>
      </c>
      <c r="J196">
        <f t="shared" si="78"/>
        <v>0.8928566276984502</v>
      </c>
      <c r="K196">
        <f t="shared" si="78"/>
        <v>3.0167776262335972</v>
      </c>
    </row>
    <row r="197" spans="1:18" x14ac:dyDescent="0.35">
      <c r="C197" s="2" t="s">
        <v>56</v>
      </c>
      <c r="D197" s="11">
        <f>D196-C194</f>
        <v>5.6548223862421771</v>
      </c>
      <c r="E197">
        <f t="shared" ref="E197:E198" si="79">E196</f>
        <v>9.4685841822427719</v>
      </c>
      <c r="F197">
        <f t="shared" si="78"/>
        <v>3.0380747076951331</v>
      </c>
      <c r="G197">
        <f t="shared" si="78"/>
        <v>19.992459418721701</v>
      </c>
      <c r="H197">
        <f t="shared" si="78"/>
        <v>2.5173916091120381</v>
      </c>
      <c r="I197">
        <f t="shared" si="78"/>
        <v>2.6239027702760862</v>
      </c>
      <c r="J197">
        <f t="shared" si="78"/>
        <v>0.8928566276984502</v>
      </c>
      <c r="K197">
        <f t="shared" si="78"/>
        <v>3.0167776262335972</v>
      </c>
    </row>
    <row r="198" spans="1:18" x14ac:dyDescent="0.35">
      <c r="C198" s="2" t="s">
        <v>49</v>
      </c>
      <c r="D198">
        <f>D197</f>
        <v>5.6548223862421771</v>
      </c>
      <c r="E198">
        <f t="shared" si="79"/>
        <v>9.4685841822427719</v>
      </c>
      <c r="F198">
        <f t="shared" si="78"/>
        <v>3.0380747076951331</v>
      </c>
      <c r="G198" s="11">
        <f>G197-C194</f>
        <v>3.3257927520550332</v>
      </c>
      <c r="H198">
        <f t="shared" si="78"/>
        <v>2.5173916091120381</v>
      </c>
      <c r="I198">
        <f t="shared" si="78"/>
        <v>2.6239027702760862</v>
      </c>
      <c r="J198">
        <f t="shared" si="78"/>
        <v>0.8928566276984502</v>
      </c>
      <c r="K198">
        <f t="shared" si="78"/>
        <v>3.0167776262335972</v>
      </c>
    </row>
    <row r="199" spans="1:18" x14ac:dyDescent="0.35">
      <c r="B199" s="2" t="s">
        <v>52</v>
      </c>
      <c r="D199">
        <f>D198+($J198*0)</f>
        <v>5.6548223862421771</v>
      </c>
      <c r="E199">
        <f t="shared" ref="E199:H199" si="80">E198+($J198*0)</f>
        <v>9.4685841822427719</v>
      </c>
      <c r="F199">
        <f t="shared" si="80"/>
        <v>3.0380747076951331</v>
      </c>
      <c r="G199">
        <f>G198+($J198*0.152)</f>
        <v>3.4615069594651975</v>
      </c>
      <c r="H199">
        <f t="shared" si="80"/>
        <v>2.5173916091120381</v>
      </c>
      <c r="I199">
        <f>I198+($J198*0.3052)</f>
        <v>2.8964026130496534</v>
      </c>
      <c r="J199" s="13"/>
      <c r="K199">
        <f>K198+($J198*0.2892)</f>
        <v>3.2749917629639889</v>
      </c>
    </row>
    <row r="200" spans="1:18" x14ac:dyDescent="0.35">
      <c r="B200" s="2" t="s">
        <v>64</v>
      </c>
      <c r="D200">
        <f>D199+($H199*0)</f>
        <v>5.6548223862421771</v>
      </c>
      <c r="E200">
        <f>E199+($H199*0.2754)</f>
        <v>10.161873831392228</v>
      </c>
      <c r="F200">
        <f>F199+($H199*0.0436)</f>
        <v>3.1478329818524178</v>
      </c>
      <c r="G200">
        <f>G199+($H199*0.4247)</f>
        <v>4.5306431758550803</v>
      </c>
      <c r="H200" s="13"/>
      <c r="I200">
        <f>I199+($H199*0.0179)</f>
        <v>2.9414639228527588</v>
      </c>
      <c r="J200" s="13"/>
      <c r="K200">
        <f>K199+($H199*0.0179)</f>
        <v>3.3200530727670943</v>
      </c>
    </row>
    <row r="201" spans="1:18" x14ac:dyDescent="0.35">
      <c r="B201" s="2" t="s">
        <v>50</v>
      </c>
      <c r="D201">
        <f>D200+($I200*0.2936)</f>
        <v>6.5184361939917475</v>
      </c>
      <c r="E201">
        <f t="shared" ref="E201:G201" si="81">E200+($I200*0)</f>
        <v>10.161873831392228</v>
      </c>
      <c r="F201">
        <f>F200+($I200*0.058)</f>
        <v>3.3184378893778779</v>
      </c>
      <c r="G201">
        <f t="shared" si="81"/>
        <v>4.5306431758550803</v>
      </c>
      <c r="H201" s="13"/>
      <c r="I201" s="13"/>
      <c r="J201" s="13"/>
      <c r="K201">
        <f>K200+($I200*0.1386)</f>
        <v>3.7277399724744864</v>
      </c>
    </row>
    <row r="202" spans="1:18" x14ac:dyDescent="0.35">
      <c r="B202" s="2" t="s">
        <v>54</v>
      </c>
      <c r="D202">
        <f>D201+($F201*0.0411)</f>
        <v>6.6548239912451779</v>
      </c>
      <c r="E202">
        <f>E201+($F201*0.3462)</f>
        <v>11.31071702869485</v>
      </c>
      <c r="F202" s="13"/>
      <c r="G202">
        <f>G201+($F201*0.1365)</f>
        <v>4.983609947755161</v>
      </c>
      <c r="H202" s="13"/>
      <c r="I202" s="13"/>
      <c r="J202" s="13"/>
      <c r="K202">
        <f>K201+($F201*0.0113)</f>
        <v>3.7652383206244564</v>
      </c>
    </row>
    <row r="203" spans="1:18" x14ac:dyDescent="0.35">
      <c r="B203" s="2" t="s">
        <v>51</v>
      </c>
      <c r="D203">
        <f>D202+($K202*0.4066)</f>
        <v>8.1857698924110824</v>
      </c>
      <c r="E203">
        <f>E202+($K202*0.0288)</f>
        <v>11.419155892328833</v>
      </c>
      <c r="F203" s="13"/>
      <c r="G203">
        <f t="shared" ref="G203" si="82">G202+($K202*0)</f>
        <v>4.983609947755161</v>
      </c>
      <c r="H203" s="13"/>
      <c r="I203" s="13"/>
      <c r="J203" s="13"/>
      <c r="K203" s="13"/>
    </row>
    <row r="204" spans="1:18" x14ac:dyDescent="0.35">
      <c r="B204" s="2" t="s">
        <v>102</v>
      </c>
      <c r="D204">
        <f>D203+($G203*((0.1149+0.139)/2))</f>
        <v>8.8184391752786002</v>
      </c>
      <c r="E204">
        <f>E203+($G203*((0.4561+0.471)/2))</f>
        <v>13.729308283610738</v>
      </c>
      <c r="F204" s="13"/>
      <c r="G204" s="13"/>
      <c r="H204" s="13"/>
      <c r="I204" s="13"/>
      <c r="J204" s="13"/>
      <c r="K204" s="13"/>
    </row>
    <row r="205" spans="1:18" x14ac:dyDescent="0.35">
      <c r="C205" s="2" t="s">
        <v>26</v>
      </c>
      <c r="D205">
        <f>D204+($G204*((0.1149+0.139)/2))</f>
        <v>8.8184391752786002</v>
      </c>
      <c r="E205" s="11">
        <f>E204+($G204*((0.4561+0.471)/2))</f>
        <v>13.729308283610738</v>
      </c>
      <c r="F205" s="13"/>
      <c r="G205" s="13"/>
      <c r="H205" s="13"/>
      <c r="I205" s="13"/>
      <c r="J205" s="13"/>
      <c r="K205" s="13"/>
    </row>
    <row r="207" spans="1:18" x14ac:dyDescent="0.35">
      <c r="A207" t="s">
        <v>20</v>
      </c>
      <c r="B207">
        <v>5</v>
      </c>
      <c r="C207">
        <v>16.666666666666668</v>
      </c>
      <c r="D207" s="6">
        <v>0.33140712243089115</v>
      </c>
      <c r="E207" s="6">
        <v>0.37529478736391464</v>
      </c>
      <c r="F207" s="6">
        <v>5.4265785908992087E-2</v>
      </c>
      <c r="G207" s="6">
        <v>0.1063753281937221</v>
      </c>
      <c r="H207" s="6">
        <v>3.2236546983962409E-2</v>
      </c>
      <c r="I207" s="6">
        <v>2.2973585631386191E-2</v>
      </c>
      <c r="J207" s="6">
        <v>1.21817231633694E-2</v>
      </c>
      <c r="K207" s="6">
        <v>4.3561427830827629E-2</v>
      </c>
      <c r="L207" s="9">
        <v>6.8398080171246049E-3</v>
      </c>
      <c r="M207" s="9">
        <v>4.1306420054517783E-3</v>
      </c>
      <c r="N207" s="9">
        <v>2.4081475659314014E-3</v>
      </c>
      <c r="O207" s="9">
        <v>7.1408264628660297E-3</v>
      </c>
      <c r="P207" s="9">
        <v>1.1873505359800659E-3</v>
      </c>
      <c r="Q207" s="9">
        <v>0</v>
      </c>
      <c r="R207" s="9">
        <v>0</v>
      </c>
    </row>
    <row r="208" spans="1:18" x14ac:dyDescent="0.35">
      <c r="A208" s="2" t="s">
        <v>66</v>
      </c>
      <c r="B208" s="10" t="s">
        <v>99</v>
      </c>
      <c r="C208" s="2" t="s">
        <v>26</v>
      </c>
      <c r="D208">
        <f>D207*100</f>
        <v>33.140712243089112</v>
      </c>
      <c r="E208" s="11">
        <f>(E207*100)-C207</f>
        <v>20.862812069724793</v>
      </c>
      <c r="F208">
        <f t="shared" ref="F208:K208" si="83">F207*100</f>
        <v>5.4265785908992088</v>
      </c>
      <c r="G208">
        <f t="shared" si="83"/>
        <v>10.637532819372209</v>
      </c>
      <c r="H208">
        <f t="shared" si="83"/>
        <v>3.2236546983962411</v>
      </c>
      <c r="I208">
        <f t="shared" si="83"/>
        <v>2.2973585631386193</v>
      </c>
      <c r="J208">
        <f t="shared" si="83"/>
        <v>1.21817231633694</v>
      </c>
      <c r="K208">
        <f t="shared" si="83"/>
        <v>4.3561427830827633</v>
      </c>
    </row>
    <row r="209" spans="1:18" x14ac:dyDescent="0.35">
      <c r="C209" s="2" t="s">
        <v>56</v>
      </c>
      <c r="D209" s="11">
        <f>D208-C207</f>
        <v>16.474045576422444</v>
      </c>
      <c r="E209">
        <f t="shared" ref="E209:K210" si="84">E208</f>
        <v>20.862812069724793</v>
      </c>
      <c r="F209">
        <f t="shared" si="84"/>
        <v>5.4265785908992088</v>
      </c>
      <c r="G209">
        <f t="shared" si="84"/>
        <v>10.637532819372209</v>
      </c>
      <c r="H209">
        <f t="shared" si="84"/>
        <v>3.2236546983962411</v>
      </c>
      <c r="I209">
        <f t="shared" si="84"/>
        <v>2.2973585631386193</v>
      </c>
      <c r="J209">
        <f t="shared" si="84"/>
        <v>1.21817231633694</v>
      </c>
      <c r="K209">
        <f t="shared" si="84"/>
        <v>4.3561427830827633</v>
      </c>
    </row>
    <row r="210" spans="1:18" x14ac:dyDescent="0.35">
      <c r="C210" s="2" t="s">
        <v>26</v>
      </c>
      <c r="D210">
        <f>D209</f>
        <v>16.474045576422444</v>
      </c>
      <c r="E210" s="11">
        <f>E209-C207</f>
        <v>4.1961454030581251</v>
      </c>
      <c r="F210">
        <f t="shared" si="84"/>
        <v>5.4265785908992088</v>
      </c>
      <c r="G210">
        <f t="shared" si="84"/>
        <v>10.637532819372209</v>
      </c>
      <c r="H210">
        <f t="shared" si="84"/>
        <v>3.2236546983962411</v>
      </c>
      <c r="I210">
        <f t="shared" si="84"/>
        <v>2.2973585631386193</v>
      </c>
      <c r="J210">
        <f t="shared" si="84"/>
        <v>1.21817231633694</v>
      </c>
      <c r="K210">
        <f t="shared" si="84"/>
        <v>4.3561427830827633</v>
      </c>
    </row>
    <row r="211" spans="1:18" x14ac:dyDescent="0.35">
      <c r="B211" s="2" t="s">
        <v>52</v>
      </c>
      <c r="D211">
        <f>D210+($J210*0)</f>
        <v>16.474045576422444</v>
      </c>
      <c r="E211">
        <f t="shared" ref="E211:H211" si="85">E210+($J210*0)</f>
        <v>4.1961454030581251</v>
      </c>
      <c r="F211">
        <f t="shared" si="85"/>
        <v>5.4265785908992088</v>
      </c>
      <c r="G211">
        <f>G210+($J210*0.152)</f>
        <v>10.822695011455425</v>
      </c>
      <c r="H211">
        <f t="shared" si="85"/>
        <v>3.2236546983962411</v>
      </c>
      <c r="I211">
        <f>I210+($J210*0.3052)</f>
        <v>2.6691447540846536</v>
      </c>
      <c r="J211" s="13"/>
      <c r="K211">
        <f>K210+($J210*0.2892)</f>
        <v>4.7084382169674059</v>
      </c>
    </row>
    <row r="212" spans="1:18" x14ac:dyDescent="0.35">
      <c r="B212" s="2" t="s">
        <v>50</v>
      </c>
      <c r="D212">
        <f>D211+($I211*0.2936)</f>
        <v>17.257706476221699</v>
      </c>
      <c r="E212">
        <f t="shared" ref="E212:G212" si="86">E211+($I211*0)</f>
        <v>4.1961454030581251</v>
      </c>
      <c r="F212">
        <f>F211+($I211*0.058)</f>
        <v>5.581388986636119</v>
      </c>
      <c r="G212">
        <f t="shared" si="86"/>
        <v>10.822695011455425</v>
      </c>
      <c r="H212">
        <f>H211+($I211*0.0726)</f>
        <v>3.4174346075427868</v>
      </c>
      <c r="I212" s="13"/>
      <c r="J212" s="13"/>
      <c r="K212">
        <f>K211+($I211*0.1386)</f>
        <v>5.0783816798835391</v>
      </c>
    </row>
    <row r="213" spans="1:18" x14ac:dyDescent="0.35">
      <c r="C213" s="2" t="s">
        <v>56</v>
      </c>
      <c r="D213" s="11">
        <f>D212-C207</f>
        <v>0.59103980955503133</v>
      </c>
      <c r="E213">
        <f t="shared" ref="E213:K213" si="87">E212</f>
        <v>4.1961454030581251</v>
      </c>
      <c r="F213">
        <f t="shared" si="87"/>
        <v>5.581388986636119</v>
      </c>
      <c r="G213">
        <f t="shared" si="87"/>
        <v>10.822695011455425</v>
      </c>
      <c r="H213">
        <f t="shared" si="87"/>
        <v>3.4174346075427868</v>
      </c>
      <c r="I213" s="13"/>
      <c r="J213" s="13"/>
      <c r="K213">
        <f t="shared" si="87"/>
        <v>5.0783816798835391</v>
      </c>
    </row>
    <row r="214" spans="1:18" x14ac:dyDescent="0.35">
      <c r="B214" s="2" t="s">
        <v>94</v>
      </c>
      <c r="D214" s="13"/>
      <c r="E214">
        <f>E213+($D213*0.1136)</f>
        <v>4.2632875254235767</v>
      </c>
      <c r="F214">
        <f>F213+($D213*0.0879)</f>
        <v>5.6333413858960064</v>
      </c>
      <c r="G214">
        <f>G213+($D213*0.1648)</f>
        <v>10.920098372070093</v>
      </c>
      <c r="H214">
        <f>H213+($D213*0.0652)</f>
        <v>3.4559704031257747</v>
      </c>
      <c r="I214" s="13"/>
      <c r="J214" s="13"/>
      <c r="K214">
        <f>K213+($D213*0.2655)</f>
        <v>5.2353027493204003</v>
      </c>
    </row>
    <row r="215" spans="1:18" x14ac:dyDescent="0.35">
      <c r="B215" s="2" t="s">
        <v>60</v>
      </c>
      <c r="D215" s="13"/>
      <c r="E215">
        <f>E214+($H214*0.2754)</f>
        <v>5.2150617744444148</v>
      </c>
      <c r="F215">
        <f>F214+($H214*0.0436)</f>
        <v>5.7840216954722905</v>
      </c>
      <c r="G215">
        <f>G214+($H214*0.4247)</f>
        <v>12.38784900227761</v>
      </c>
      <c r="H215" s="13"/>
      <c r="I215" s="13"/>
      <c r="J215" s="13"/>
      <c r="K215">
        <f t="shared" ref="K215" si="88">K214+($H214*0)</f>
        <v>5.2353027493204003</v>
      </c>
    </row>
    <row r="216" spans="1:18" x14ac:dyDescent="0.35">
      <c r="B216" s="2" t="s">
        <v>68</v>
      </c>
      <c r="D216" s="13"/>
      <c r="E216" s="13"/>
      <c r="F216">
        <f>F215+($E215*0.1064)</f>
        <v>6.3389042682731764</v>
      </c>
      <c r="G216">
        <f>G215+($E215*0.5255)</f>
        <v>15.12836396474815</v>
      </c>
      <c r="H216" s="13"/>
      <c r="I216" s="13"/>
      <c r="J216" s="13"/>
      <c r="K216">
        <f>K215+($E215*0)</f>
        <v>5.2353027493204003</v>
      </c>
    </row>
    <row r="217" spans="1:18" x14ac:dyDescent="0.35">
      <c r="B217" s="2" t="s">
        <v>51</v>
      </c>
      <c r="D217" s="13"/>
      <c r="E217" s="13"/>
      <c r="F217">
        <f>F216+($K216*0.0345)</f>
        <v>6.5195222131247306</v>
      </c>
      <c r="G217">
        <f>G216+($K216*0)</f>
        <v>15.12836396474815</v>
      </c>
      <c r="H217" s="13"/>
      <c r="I217" s="13"/>
      <c r="J217" s="13"/>
      <c r="K217" s="13"/>
    </row>
    <row r="218" spans="1:18" x14ac:dyDescent="0.35">
      <c r="C218" s="2" t="s">
        <v>49</v>
      </c>
      <c r="D218" s="13"/>
      <c r="E218" s="13"/>
      <c r="F218">
        <f>F217+($K217*0.0345)</f>
        <v>6.5195222131247306</v>
      </c>
      <c r="G218" s="11">
        <f>G217+($K217*0)</f>
        <v>15.12836396474815</v>
      </c>
      <c r="H218" s="13"/>
      <c r="I218" s="13"/>
      <c r="J218" s="13"/>
      <c r="K218" s="13"/>
    </row>
    <row r="220" spans="1:18" x14ac:dyDescent="0.35">
      <c r="A220" t="s">
        <v>21</v>
      </c>
      <c r="B220">
        <v>5</v>
      </c>
      <c r="C220">
        <v>16.666666666666668</v>
      </c>
      <c r="D220" s="6">
        <v>0.31689059177418744</v>
      </c>
      <c r="E220" s="6">
        <v>0.42548364107609066</v>
      </c>
      <c r="F220" s="6">
        <v>4.8013296000605388E-2</v>
      </c>
      <c r="G220" s="6">
        <v>9.9906725566612425E-2</v>
      </c>
      <c r="H220" s="6">
        <v>2.6411782511634948E-2</v>
      </c>
      <c r="I220" s="6">
        <v>1.8945660070377238E-2</v>
      </c>
      <c r="J220" s="6">
        <v>9.8438079382496494E-3</v>
      </c>
      <c r="K220" s="6">
        <v>3.5266682432176781E-2</v>
      </c>
      <c r="L220" s="9">
        <v>5.2593741723107193E-3</v>
      </c>
      <c r="M220" s="9">
        <v>3.9350713231677322E-3</v>
      </c>
      <c r="N220" s="9">
        <v>2.4026637405879904E-3</v>
      </c>
      <c r="O220" s="9">
        <v>6.1863861667108104E-3</v>
      </c>
      <c r="P220" s="9">
        <v>1.4567331340572857E-3</v>
      </c>
      <c r="Q220" s="9">
        <v>0</v>
      </c>
      <c r="R220" s="9">
        <v>0</v>
      </c>
    </row>
    <row r="221" spans="1:18" x14ac:dyDescent="0.35">
      <c r="A221" s="2" t="s">
        <v>66</v>
      </c>
      <c r="B221" s="10" t="s">
        <v>99</v>
      </c>
      <c r="C221" s="2" t="s">
        <v>26</v>
      </c>
      <c r="D221">
        <f>D220*100</f>
        <v>31.689059177418745</v>
      </c>
      <c r="E221" s="11">
        <f>(E220*100)-C220</f>
        <v>25.8816974409424</v>
      </c>
      <c r="F221">
        <f t="shared" ref="F221:K221" si="89">F220*100</f>
        <v>4.801329600060539</v>
      </c>
      <c r="G221">
        <f t="shared" si="89"/>
        <v>9.9906725566612433</v>
      </c>
      <c r="H221">
        <f t="shared" si="89"/>
        <v>2.6411782511634949</v>
      </c>
      <c r="I221">
        <f t="shared" si="89"/>
        <v>1.8945660070377239</v>
      </c>
      <c r="J221">
        <f t="shared" si="89"/>
        <v>0.98438079382496491</v>
      </c>
      <c r="K221">
        <f t="shared" si="89"/>
        <v>3.5266682432176779</v>
      </c>
    </row>
    <row r="222" spans="1:18" x14ac:dyDescent="0.35">
      <c r="C222" s="2" t="s">
        <v>56</v>
      </c>
      <c r="D222" s="11">
        <f>D221-C220</f>
        <v>15.022392510752077</v>
      </c>
      <c r="E222">
        <f t="shared" ref="E222:K223" si="90">E221</f>
        <v>25.8816974409424</v>
      </c>
      <c r="F222">
        <f t="shared" si="90"/>
        <v>4.801329600060539</v>
      </c>
      <c r="G222">
        <f t="shared" si="90"/>
        <v>9.9906725566612433</v>
      </c>
      <c r="H222">
        <f t="shared" si="90"/>
        <v>2.6411782511634949</v>
      </c>
      <c r="I222">
        <f t="shared" si="90"/>
        <v>1.8945660070377239</v>
      </c>
      <c r="J222">
        <f t="shared" si="90"/>
        <v>0.98438079382496491</v>
      </c>
      <c r="K222">
        <f t="shared" si="90"/>
        <v>3.5266682432176779</v>
      </c>
    </row>
    <row r="223" spans="1:18" x14ac:dyDescent="0.35">
      <c r="C223" s="2" t="s">
        <v>26</v>
      </c>
      <c r="D223">
        <f>D222</f>
        <v>15.022392510752077</v>
      </c>
      <c r="E223" s="11">
        <f>E222-C220</f>
        <v>9.215030774275732</v>
      </c>
      <c r="F223">
        <f t="shared" si="90"/>
        <v>4.801329600060539</v>
      </c>
      <c r="G223">
        <f t="shared" si="90"/>
        <v>9.9906725566612433</v>
      </c>
      <c r="H223">
        <f t="shared" si="90"/>
        <v>2.6411782511634949</v>
      </c>
      <c r="I223">
        <f t="shared" si="90"/>
        <v>1.8945660070377239</v>
      </c>
      <c r="J223">
        <f t="shared" si="90"/>
        <v>0.98438079382496491</v>
      </c>
      <c r="K223">
        <f t="shared" si="90"/>
        <v>3.5266682432176779</v>
      </c>
    </row>
    <row r="224" spans="1:18" x14ac:dyDescent="0.35">
      <c r="B224" s="2" t="s">
        <v>52</v>
      </c>
      <c r="D224">
        <f>D223+($J223*0)</f>
        <v>15.022392510752077</v>
      </c>
      <c r="E224">
        <f t="shared" ref="E224:H224" si="91">E223+($J223*0)</f>
        <v>9.215030774275732</v>
      </c>
      <c r="F224">
        <f t="shared" si="91"/>
        <v>4.801329600060539</v>
      </c>
      <c r="G224">
        <f>G223+($J223*0.152)</f>
        <v>10.140298437322638</v>
      </c>
      <c r="H224">
        <f t="shared" si="91"/>
        <v>2.6411782511634949</v>
      </c>
      <c r="I224">
        <f>I223+($J223*0.3052)</f>
        <v>2.1949990253131033</v>
      </c>
      <c r="J224" s="13"/>
      <c r="K224">
        <f>K223+($J223*0.2892)</f>
        <v>3.811351168791858</v>
      </c>
    </row>
    <row r="225" spans="1:18" x14ac:dyDescent="0.35">
      <c r="B225" s="2" t="s">
        <v>50</v>
      </c>
      <c r="D225">
        <f>D224+($I224*0.2936)</f>
        <v>15.666844224584004</v>
      </c>
      <c r="E225">
        <f t="shared" ref="E225:G225" si="92">E224+($I224*0)</f>
        <v>9.215030774275732</v>
      </c>
      <c r="F225">
        <f>F224+($I224*0.058)</f>
        <v>4.9286395435286989</v>
      </c>
      <c r="G225">
        <f t="shared" si="92"/>
        <v>10.140298437322638</v>
      </c>
      <c r="H225">
        <f>H224+($I224*0.0726)</f>
        <v>2.8005351804012264</v>
      </c>
      <c r="I225" s="13"/>
      <c r="J225" s="13"/>
      <c r="K225">
        <f>K224+($I224*0.1386)</f>
        <v>4.1155780337002543</v>
      </c>
    </row>
    <row r="226" spans="1:18" x14ac:dyDescent="0.35">
      <c r="B226" s="2" t="s">
        <v>60</v>
      </c>
      <c r="D226">
        <f>D225+($H225*0)</f>
        <v>15.666844224584004</v>
      </c>
      <c r="E226">
        <f>E225+($H225*0.2754)</f>
        <v>9.9862981629582297</v>
      </c>
      <c r="F226">
        <f>F225+($H225*0.0436)</f>
        <v>5.0507428773941925</v>
      </c>
      <c r="G226">
        <f>G225+($H225*0.4247)</f>
        <v>11.329685728439038</v>
      </c>
      <c r="H226" s="13"/>
      <c r="I226" s="13"/>
      <c r="J226" s="13"/>
      <c r="K226">
        <f t="shared" ref="K226" si="93">K225+($H225*0)</f>
        <v>4.1155780337002543</v>
      </c>
    </row>
    <row r="227" spans="1:18" x14ac:dyDescent="0.35">
      <c r="B227" s="2" t="s">
        <v>51</v>
      </c>
      <c r="D227">
        <f>D226+($K226*0.4066)</f>
        <v>17.340238253086529</v>
      </c>
      <c r="E227">
        <f>E226+($K226*0.0288)</f>
        <v>10.104826810328797</v>
      </c>
      <c r="F227">
        <f>F226+($K226*0.0345)</f>
        <v>5.1927303195568513</v>
      </c>
      <c r="G227">
        <f t="shared" ref="G227" si="94">G226+($K226*0)</f>
        <v>11.329685728439038</v>
      </c>
      <c r="H227" s="13"/>
      <c r="I227" s="13"/>
      <c r="J227" s="13"/>
      <c r="K227" s="13"/>
    </row>
    <row r="228" spans="1:18" x14ac:dyDescent="0.35">
      <c r="C228" s="2" t="s">
        <v>56</v>
      </c>
      <c r="D228" s="11">
        <f>D227-C220</f>
        <v>0.67357158641986103</v>
      </c>
      <c r="E228">
        <f t="shared" ref="E228:G228" si="95">E227</f>
        <v>10.104826810328797</v>
      </c>
      <c r="F228">
        <f t="shared" si="95"/>
        <v>5.1927303195568513</v>
      </c>
      <c r="G228">
        <f t="shared" si="95"/>
        <v>11.329685728439038</v>
      </c>
      <c r="H228" s="13"/>
      <c r="I228" s="13"/>
      <c r="J228" s="13"/>
      <c r="K228" s="13"/>
    </row>
    <row r="229" spans="1:18" x14ac:dyDescent="0.35">
      <c r="B229" s="2" t="s">
        <v>94</v>
      </c>
      <c r="D229" s="13"/>
      <c r="E229">
        <f>E228+($D228*0.1136)</f>
        <v>10.181344542546093</v>
      </c>
      <c r="F229">
        <f>F228+($D228*0.0879)</f>
        <v>5.2519372620031568</v>
      </c>
      <c r="G229">
        <f>G228+($D228*0.1648)</f>
        <v>11.440690325881032</v>
      </c>
      <c r="H229" s="13"/>
      <c r="I229" s="13"/>
      <c r="J229" s="13"/>
      <c r="K229" s="13"/>
    </row>
    <row r="230" spans="1:18" x14ac:dyDescent="0.35">
      <c r="B230" s="2" t="s">
        <v>54</v>
      </c>
      <c r="D230" s="13"/>
      <c r="E230">
        <f>E229+(F229*0.3462)</f>
        <v>11.999565222651587</v>
      </c>
      <c r="F230" s="13"/>
      <c r="G230">
        <f>G229+(F229*0.1365)</f>
        <v>12.157579762144463</v>
      </c>
      <c r="H230" s="13"/>
      <c r="I230" s="13"/>
      <c r="J230" s="13"/>
      <c r="K230" s="13"/>
    </row>
    <row r="231" spans="1:18" x14ac:dyDescent="0.35">
      <c r="C231" s="2" t="s">
        <v>49</v>
      </c>
      <c r="D231" s="13"/>
      <c r="E231">
        <f>E230+(F230*0.3462)</f>
        <v>11.999565222651587</v>
      </c>
      <c r="F231" s="13"/>
      <c r="G231" s="11">
        <f>G230+(F230*0.1365)</f>
        <v>12.157579762144463</v>
      </c>
      <c r="H231" s="13"/>
      <c r="I231" s="13"/>
      <c r="J231" s="13"/>
      <c r="K231" s="13"/>
    </row>
    <row r="233" spans="1:18" x14ac:dyDescent="0.35">
      <c r="A233" t="s">
        <v>22</v>
      </c>
      <c r="B233">
        <v>5</v>
      </c>
      <c r="C233">
        <f>100/(B233+1)</f>
        <v>16.666666666666668</v>
      </c>
      <c r="D233" s="6">
        <v>0.13782130370043202</v>
      </c>
      <c r="E233" s="6">
        <v>0.49207642209519825</v>
      </c>
      <c r="F233" s="6">
        <v>3.7135680186207054E-2</v>
      </c>
      <c r="G233" s="6">
        <v>0.20303622359047779</v>
      </c>
      <c r="H233" s="6">
        <v>3.0794472295617152E-2</v>
      </c>
      <c r="I233" s="6">
        <v>2.4070173300417788E-2</v>
      </c>
      <c r="J233" s="6">
        <v>8.4524353290554889E-3</v>
      </c>
      <c r="K233" s="6">
        <v>2.4561694803583001E-2</v>
      </c>
      <c r="L233" s="9">
        <v>7.1786310517529218E-3</v>
      </c>
      <c r="M233" s="9">
        <v>1.4565943238731218E-2</v>
      </c>
      <c r="N233" s="9">
        <v>3.1093489148580969E-3</v>
      </c>
      <c r="O233" s="9">
        <v>5.9265442404006679E-3</v>
      </c>
      <c r="P233" s="9">
        <v>2.3580968280467445E-3</v>
      </c>
      <c r="Q233" s="9">
        <v>8.3055091819699504E-3</v>
      </c>
      <c r="R233" s="9">
        <v>1.0225375626043405E-3</v>
      </c>
    </row>
    <row r="234" spans="1:18" x14ac:dyDescent="0.35">
      <c r="A234" s="2" t="s">
        <v>88</v>
      </c>
      <c r="B234" s="12" t="s">
        <v>87</v>
      </c>
      <c r="C234" s="2" t="s">
        <v>26</v>
      </c>
      <c r="D234">
        <f>D233*100</f>
        <v>13.782130370043202</v>
      </c>
      <c r="E234" s="11">
        <f>(E233*100)-C233</f>
        <v>32.540975542853161</v>
      </c>
      <c r="F234">
        <f t="shared" ref="F234:K234" si="96">F233*100</f>
        <v>3.7135680186207054</v>
      </c>
      <c r="G234">
        <f t="shared" si="96"/>
        <v>20.303622359047779</v>
      </c>
      <c r="H234">
        <f t="shared" si="96"/>
        <v>3.079447229561715</v>
      </c>
      <c r="I234">
        <f t="shared" si="96"/>
        <v>2.407017330041779</v>
      </c>
      <c r="J234">
        <f t="shared" si="96"/>
        <v>0.84524353290554888</v>
      </c>
      <c r="K234">
        <f t="shared" si="96"/>
        <v>2.4561694803582999</v>
      </c>
    </row>
    <row r="235" spans="1:18" x14ac:dyDescent="0.35">
      <c r="C235" s="2" t="s">
        <v>26</v>
      </c>
      <c r="D235">
        <f>D234</f>
        <v>13.782130370043202</v>
      </c>
      <c r="E235" s="11">
        <f>E234-C233</f>
        <v>15.874308876186493</v>
      </c>
      <c r="F235">
        <f t="shared" ref="F235:K236" si="97">F234</f>
        <v>3.7135680186207054</v>
      </c>
      <c r="G235">
        <f t="shared" si="97"/>
        <v>20.303622359047779</v>
      </c>
      <c r="H235">
        <f t="shared" si="97"/>
        <v>3.079447229561715</v>
      </c>
      <c r="I235">
        <f t="shared" si="97"/>
        <v>2.407017330041779</v>
      </c>
      <c r="J235">
        <f t="shared" si="97"/>
        <v>0.84524353290554888</v>
      </c>
      <c r="K235">
        <f t="shared" si="97"/>
        <v>2.4561694803582999</v>
      </c>
    </row>
    <row r="236" spans="1:18" x14ac:dyDescent="0.35">
      <c r="C236" s="2" t="s">
        <v>49</v>
      </c>
      <c r="D236">
        <f>D235</f>
        <v>13.782130370043202</v>
      </c>
      <c r="E236">
        <f t="shared" ref="E236" si="98">E235</f>
        <v>15.874308876186493</v>
      </c>
      <c r="F236">
        <f t="shared" si="97"/>
        <v>3.7135680186207054</v>
      </c>
      <c r="G236" s="11">
        <f>G235-C233</f>
        <v>3.636955692381111</v>
      </c>
      <c r="H236">
        <f t="shared" si="97"/>
        <v>3.079447229561715</v>
      </c>
      <c r="I236">
        <f t="shared" si="97"/>
        <v>2.407017330041779</v>
      </c>
      <c r="J236">
        <f t="shared" si="97"/>
        <v>0.84524353290554888</v>
      </c>
      <c r="K236">
        <f t="shared" si="97"/>
        <v>2.4561694803582999</v>
      </c>
    </row>
    <row r="237" spans="1:18" x14ac:dyDescent="0.35">
      <c r="B237" s="2" t="s">
        <v>52</v>
      </c>
      <c r="D237">
        <f>D236+($J236*0)</f>
        <v>13.782130370043202</v>
      </c>
      <c r="E237">
        <f t="shared" ref="E237:F237" si="99">E236+($J236*0)</f>
        <v>15.874308876186493</v>
      </c>
      <c r="F237">
        <f t="shared" si="99"/>
        <v>3.7135680186207054</v>
      </c>
      <c r="G237">
        <f>G236+($J236*0.152)</f>
        <v>3.7654327093827544</v>
      </c>
      <c r="H237">
        <f>H236+($J236*0)</f>
        <v>3.079447229561715</v>
      </c>
      <c r="I237">
        <f>I236+($J236*0.3052)</f>
        <v>2.6649856562845526</v>
      </c>
      <c r="J237" s="13"/>
      <c r="K237">
        <f>K236+($J236*0.2892)</f>
        <v>2.7006139100745847</v>
      </c>
    </row>
    <row r="238" spans="1:18" x14ac:dyDescent="0.35">
      <c r="B238" s="2" t="s">
        <v>50</v>
      </c>
      <c r="D238">
        <f>D237+($I237*0.2936)</f>
        <v>14.564570158728346</v>
      </c>
      <c r="E238">
        <f>E237+($I237*0)</f>
        <v>15.874308876186493</v>
      </c>
      <c r="F238">
        <f>F237+($I237*0.058)</f>
        <v>3.8681371866852094</v>
      </c>
      <c r="G238">
        <f>G237+($I237*0)</f>
        <v>3.7654327093827544</v>
      </c>
      <c r="H238">
        <f>H237+($I237*0.0726)</f>
        <v>3.2729251882079735</v>
      </c>
      <c r="I238" s="13"/>
      <c r="J238" s="13"/>
      <c r="K238">
        <f>K237+($I237*0.1386)</f>
        <v>3.0699809220356236</v>
      </c>
    </row>
    <row r="239" spans="1:18" x14ac:dyDescent="0.35">
      <c r="B239" s="2" t="s">
        <v>51</v>
      </c>
      <c r="D239">
        <f>D238+($K238*0.4066)</f>
        <v>15.812824401628031</v>
      </c>
      <c r="E239">
        <f>E238+($K238*0.0288)</f>
        <v>15.962724326741119</v>
      </c>
      <c r="F239">
        <f>F238+($K238*0.0345)</f>
        <v>3.9740515284954383</v>
      </c>
      <c r="G239">
        <f>G238+($K238*0)</f>
        <v>3.7654327093827544</v>
      </c>
      <c r="H239">
        <f t="shared" ref="H239" si="100">H238+($K238*0)</f>
        <v>3.2729251882079735</v>
      </c>
      <c r="I239" s="13"/>
      <c r="J239" s="13"/>
      <c r="K239" s="13"/>
    </row>
    <row r="240" spans="1:18" x14ac:dyDescent="0.35">
      <c r="B240" s="2" t="s">
        <v>60</v>
      </c>
      <c r="D240">
        <f>D239+($H239*0)</f>
        <v>15.812824401628031</v>
      </c>
      <c r="E240">
        <f>E239+($H239*0.2754)</f>
        <v>16.864087923573596</v>
      </c>
      <c r="F240">
        <f>F239+($H239*0.0436)</f>
        <v>4.1167510667013056</v>
      </c>
      <c r="G240">
        <f>G239+($H239*0.4247)</f>
        <v>5.1554440368146803</v>
      </c>
      <c r="H240" s="13"/>
      <c r="I240" s="13"/>
      <c r="J240" s="13"/>
      <c r="K240" s="13"/>
    </row>
    <row r="241" spans="1:18" x14ac:dyDescent="0.35">
      <c r="B241" s="2"/>
      <c r="C241" s="2" t="s">
        <v>26</v>
      </c>
      <c r="D241">
        <f>D240</f>
        <v>15.812824401628031</v>
      </c>
      <c r="E241" s="11">
        <f>E240-C233</f>
        <v>0.19742125690692802</v>
      </c>
      <c r="F241">
        <f t="shared" ref="F241:G241" si="101">F240</f>
        <v>4.1167510667013056</v>
      </c>
      <c r="G241">
        <f t="shared" si="101"/>
        <v>5.1554440368146803</v>
      </c>
      <c r="H241" s="13"/>
      <c r="I241" s="13"/>
      <c r="J241" s="13"/>
      <c r="K241" s="13"/>
    </row>
    <row r="242" spans="1:18" x14ac:dyDescent="0.35">
      <c r="B242" s="2" t="s">
        <v>103</v>
      </c>
      <c r="D242">
        <f>D241+($E241*((0.0993+0.0351)/2))</f>
        <v>15.826091110092177</v>
      </c>
      <c r="E242" s="13"/>
      <c r="F242">
        <f>F241+($E241*((0.1064+0.1403)/2))</f>
        <v>4.1411029787407756</v>
      </c>
      <c r="G242">
        <f>G241+($E241*((0.5255+0.3897)/2))</f>
        <v>5.2457840039752908</v>
      </c>
      <c r="H242" s="13"/>
      <c r="I242" s="13"/>
      <c r="J242" s="13"/>
      <c r="K242" s="13"/>
    </row>
    <row r="243" spans="1:18" x14ac:dyDescent="0.35">
      <c r="B243" s="2" t="s">
        <v>54</v>
      </c>
      <c r="D243">
        <f>D242+(F242*0.0411)</f>
        <v>15.996290442518424</v>
      </c>
      <c r="E243" s="13"/>
      <c r="F243" s="13"/>
      <c r="G243">
        <f>G242+(F242*0.1365)</f>
        <v>5.8110445605734071</v>
      </c>
      <c r="H243" s="13"/>
      <c r="I243" s="13"/>
      <c r="J243" s="13"/>
      <c r="K243" s="13"/>
    </row>
    <row r="244" spans="1:18" x14ac:dyDescent="0.35">
      <c r="B244" s="2" t="s">
        <v>104</v>
      </c>
      <c r="D244">
        <f>D243+($G243*((0.139+0)/2))</f>
        <v>16.400158039478274</v>
      </c>
      <c r="E244" s="13"/>
      <c r="F244" s="13"/>
      <c r="G244" s="13"/>
      <c r="H244" s="13"/>
      <c r="I244" s="13"/>
      <c r="J244" s="13"/>
      <c r="K244" s="13"/>
    </row>
    <row r="245" spans="1:18" x14ac:dyDescent="0.35">
      <c r="C245" s="2" t="s">
        <v>56</v>
      </c>
      <c r="D245" s="11">
        <f>D244+(F244*0.0411)</f>
        <v>16.400158039478274</v>
      </c>
      <c r="E245" s="13"/>
      <c r="F245" s="13"/>
      <c r="G245" s="13"/>
      <c r="H245" s="13"/>
      <c r="I245" s="13"/>
      <c r="J245" s="13"/>
      <c r="K245" s="13"/>
    </row>
    <row r="247" spans="1:18" x14ac:dyDescent="0.35">
      <c r="A247" t="s">
        <v>23</v>
      </c>
      <c r="B247">
        <v>5</v>
      </c>
      <c r="C247">
        <v>16.666666666666668</v>
      </c>
      <c r="D247" s="6">
        <v>0.17909135208433577</v>
      </c>
      <c r="E247" s="6">
        <v>0.46679717641398016</v>
      </c>
      <c r="F247" s="6">
        <v>6.1249910327632204E-2</v>
      </c>
      <c r="G247" s="6">
        <v>0.16401732426403043</v>
      </c>
      <c r="H247" s="6">
        <v>2.8178386772232188E-2</v>
      </c>
      <c r="I247" s="6">
        <v>2.9296351865622676E-2</v>
      </c>
      <c r="J247" s="6">
        <v>1.0604260531035387E-2</v>
      </c>
      <c r="K247" s="6">
        <v>2.6597611653033551E-2</v>
      </c>
      <c r="L247" s="9">
        <v>5.0741437382441712E-3</v>
      </c>
      <c r="M247" s="9">
        <v>6.2989370543720747E-3</v>
      </c>
      <c r="N247" s="9">
        <v>3.040111981103189E-3</v>
      </c>
      <c r="O247" s="9">
        <v>9.4484055815581124E-3</v>
      </c>
      <c r="P247" s="9">
        <v>2.4933292506889465E-3</v>
      </c>
      <c r="Q247" s="9">
        <v>8.2892261930799186E-3</v>
      </c>
      <c r="R247" s="9">
        <v>0</v>
      </c>
    </row>
    <row r="248" spans="1:18" x14ac:dyDescent="0.35">
      <c r="A248" s="2" t="s">
        <v>90</v>
      </c>
      <c r="B248" s="10" t="s">
        <v>99</v>
      </c>
      <c r="C248" s="2" t="s">
        <v>26</v>
      </c>
      <c r="D248">
        <f>D247*100</f>
        <v>17.909135208433575</v>
      </c>
      <c r="E248" s="11">
        <f>(E247*100)-C247</f>
        <v>30.013050974731346</v>
      </c>
      <c r="F248">
        <f t="shared" ref="F248:K248" si="102">F247*100</f>
        <v>6.1249910327632202</v>
      </c>
      <c r="G248">
        <f t="shared" si="102"/>
        <v>16.401732426403044</v>
      </c>
      <c r="H248">
        <f t="shared" si="102"/>
        <v>2.8178386772232189</v>
      </c>
      <c r="I248">
        <f t="shared" si="102"/>
        <v>2.9296351865622676</v>
      </c>
      <c r="J248">
        <f t="shared" si="102"/>
        <v>1.0604260531035385</v>
      </c>
      <c r="K248">
        <f t="shared" si="102"/>
        <v>2.659761165303355</v>
      </c>
    </row>
    <row r="249" spans="1:18" x14ac:dyDescent="0.35">
      <c r="C249" s="2" t="s">
        <v>26</v>
      </c>
      <c r="D249">
        <f>D248</f>
        <v>17.909135208433575</v>
      </c>
      <c r="E249" s="11">
        <f>E248-C247</f>
        <v>13.346384308064678</v>
      </c>
      <c r="F249">
        <f t="shared" ref="F249:K250" si="103">F248</f>
        <v>6.1249910327632202</v>
      </c>
      <c r="G249">
        <f t="shared" si="103"/>
        <v>16.401732426403044</v>
      </c>
      <c r="H249">
        <f t="shared" si="103"/>
        <v>2.8178386772232189</v>
      </c>
      <c r="I249">
        <f t="shared" si="103"/>
        <v>2.9296351865622676</v>
      </c>
      <c r="J249">
        <f t="shared" si="103"/>
        <v>1.0604260531035385</v>
      </c>
      <c r="K249">
        <f t="shared" si="103"/>
        <v>2.659761165303355</v>
      </c>
    </row>
    <row r="250" spans="1:18" x14ac:dyDescent="0.35">
      <c r="C250" s="2" t="s">
        <v>56</v>
      </c>
      <c r="D250" s="11">
        <f>D249-C247</f>
        <v>1.2424685417669075</v>
      </c>
      <c r="E250">
        <f t="shared" ref="E250" si="104">E249</f>
        <v>13.346384308064678</v>
      </c>
      <c r="F250">
        <f t="shared" si="103"/>
        <v>6.1249910327632202</v>
      </c>
      <c r="G250">
        <f t="shared" si="103"/>
        <v>16.401732426403044</v>
      </c>
      <c r="H250">
        <f t="shared" si="103"/>
        <v>2.8178386772232189</v>
      </c>
      <c r="I250">
        <f t="shared" si="103"/>
        <v>2.9296351865622676</v>
      </c>
      <c r="J250">
        <f t="shared" si="103"/>
        <v>1.0604260531035385</v>
      </c>
      <c r="K250">
        <f t="shared" si="103"/>
        <v>2.659761165303355</v>
      </c>
    </row>
    <row r="251" spans="1:18" x14ac:dyDescent="0.35">
      <c r="B251" s="2" t="s">
        <v>52</v>
      </c>
      <c r="D251">
        <f>D250+($J250*0)</f>
        <v>1.2424685417669075</v>
      </c>
      <c r="E251">
        <f t="shared" ref="E251:H251" si="105">E250+($J250*0)</f>
        <v>13.346384308064678</v>
      </c>
      <c r="F251">
        <f t="shared" si="105"/>
        <v>6.1249910327632202</v>
      </c>
      <c r="G251">
        <f>G250+($J250*0.152)</f>
        <v>16.562917186474781</v>
      </c>
      <c r="H251">
        <f t="shared" si="105"/>
        <v>2.8178386772232189</v>
      </c>
      <c r="I251">
        <f>I250+($J250*0.3052)</f>
        <v>3.2532772179694676</v>
      </c>
      <c r="J251" s="13"/>
      <c r="K251">
        <f>K250+($J250*0.2892)</f>
        <v>2.9664363798608986</v>
      </c>
    </row>
    <row r="252" spans="1:18" x14ac:dyDescent="0.35">
      <c r="B252" s="2" t="s">
        <v>91</v>
      </c>
      <c r="D252" s="13"/>
      <c r="E252">
        <f>E251+($D251*0.1021)</f>
        <v>13.473240346179079</v>
      </c>
      <c r="F252">
        <f>F251+($D251*0.0214)</f>
        <v>6.1515798595570317</v>
      </c>
      <c r="G252">
        <f>G251+($D251*0.2356)</f>
        <v>16.855642774915065</v>
      </c>
      <c r="H252">
        <f>H251+($D251*0.106)</f>
        <v>2.9495403426505109</v>
      </c>
      <c r="I252">
        <f>I251+($D251*0.0239)</f>
        <v>3.2829722161176966</v>
      </c>
      <c r="J252" s="13"/>
      <c r="K252">
        <f>K251+($D251*0.236)</f>
        <v>3.2596589557178888</v>
      </c>
    </row>
    <row r="253" spans="1:18" x14ac:dyDescent="0.35">
      <c r="C253" s="2" t="s">
        <v>49</v>
      </c>
      <c r="D253" s="13"/>
      <c r="E253">
        <f>E252</f>
        <v>13.473240346179079</v>
      </c>
      <c r="F253">
        <f t="shared" ref="F253:I253" si="106">F252</f>
        <v>6.1515798595570317</v>
      </c>
      <c r="G253" s="11">
        <f>G252-C247</f>
        <v>0.18897610824839717</v>
      </c>
      <c r="H253">
        <f t="shared" si="106"/>
        <v>2.9495403426505109</v>
      </c>
      <c r="I253">
        <f t="shared" si="106"/>
        <v>3.2829722161176966</v>
      </c>
      <c r="J253" s="13"/>
      <c r="K253">
        <f>K252</f>
        <v>3.2596589557178888</v>
      </c>
    </row>
    <row r="254" spans="1:18" x14ac:dyDescent="0.35">
      <c r="B254" s="2" t="s">
        <v>105</v>
      </c>
      <c r="D254" s="13"/>
      <c r="E254">
        <f>E253+($G253*0.471)</f>
        <v>13.562248093164074</v>
      </c>
      <c r="F254">
        <f>F253+($G253*0.283)</f>
        <v>6.2050600981913284</v>
      </c>
      <c r="G254" s="13"/>
      <c r="H254">
        <f>H253+($G253*0.192)</f>
        <v>2.9858237554342031</v>
      </c>
      <c r="I254">
        <f>I253+($G253*0.0646)</f>
        <v>3.2951800727105431</v>
      </c>
      <c r="J254" s="13"/>
      <c r="K254">
        <f>K253+($G253*0)</f>
        <v>3.2596589557178888</v>
      </c>
    </row>
    <row r="255" spans="1:18" x14ac:dyDescent="0.35">
      <c r="B255" s="2" t="s">
        <v>60</v>
      </c>
      <c r="D255" s="13"/>
      <c r="E255">
        <f>E254+($H254*0.2754)</f>
        <v>14.384543955410653</v>
      </c>
      <c r="F255">
        <f>F254+($H254*0.0436)</f>
        <v>6.3352420139282595</v>
      </c>
      <c r="G255" s="13"/>
      <c r="H255" s="13"/>
      <c r="I255">
        <f>I254+($H254*0.0179)</f>
        <v>3.3486263179328155</v>
      </c>
      <c r="J255" s="13"/>
      <c r="K255">
        <f t="shared" ref="K255" si="107">K254+($H254*0)</f>
        <v>3.2596589557178888</v>
      </c>
    </row>
    <row r="256" spans="1:18" x14ac:dyDescent="0.35">
      <c r="B256" s="2" t="s">
        <v>51</v>
      </c>
      <c r="D256" s="13"/>
      <c r="E256">
        <f>E255+($K255*0.0288)</f>
        <v>14.478422133335329</v>
      </c>
      <c r="F256">
        <f>F255+($K255*0.0345)</f>
        <v>6.447700247900527</v>
      </c>
      <c r="G256" s="13"/>
      <c r="H256" s="13"/>
      <c r="I256">
        <f>I255+($K255*0.1298)</f>
        <v>3.7717300503849973</v>
      </c>
      <c r="J256" s="13"/>
      <c r="K256" s="13"/>
    </row>
    <row r="257" spans="2:11" x14ac:dyDescent="0.35">
      <c r="B257" s="2" t="s">
        <v>50</v>
      </c>
      <c r="D257" s="13"/>
      <c r="E257">
        <f>E256+($I256*0)</f>
        <v>14.478422133335329</v>
      </c>
      <c r="F257">
        <f>F256+($I256*0.058)</f>
        <v>6.6664605908228571</v>
      </c>
      <c r="G257" s="13"/>
      <c r="H257" s="13"/>
      <c r="I257" s="13"/>
      <c r="J257" s="13"/>
      <c r="K257" s="13"/>
    </row>
    <row r="258" spans="2:11" x14ac:dyDescent="0.35">
      <c r="C258" s="2" t="s">
        <v>26</v>
      </c>
      <c r="D258" s="13"/>
      <c r="E258" s="11">
        <f>E257+($I257*0)</f>
        <v>14.478422133335329</v>
      </c>
      <c r="F258">
        <f>F257+($I257*0.058)</f>
        <v>6.6664605908228571</v>
      </c>
      <c r="G258" s="13"/>
      <c r="H258" s="13"/>
      <c r="I258" s="13"/>
      <c r="J258" s="13"/>
      <c r="K25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Seats for diff Senedd sizes</vt:lpstr>
      <vt:lpstr>Results for diff Senedd sizes</vt:lpstr>
      <vt:lpstr>STV 90 seats results</vt:lpstr>
      <vt:lpstr>90 seat vote calcs</vt:lpstr>
      <vt:lpstr>STV 80 seats results</vt:lpstr>
      <vt:lpstr>80 seat vote calcs</vt:lpstr>
      <vt:lpstr>STV 100 seats results</vt:lpstr>
      <vt:lpstr>100 seat vote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</dc:creator>
  <cp:lastModifiedBy>Nia</cp:lastModifiedBy>
  <dcterms:created xsi:type="dcterms:W3CDTF">2021-11-22T16:55:36Z</dcterms:created>
  <dcterms:modified xsi:type="dcterms:W3CDTF">2021-12-06T10:40:56Z</dcterms:modified>
</cp:coreProperties>
</file>